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915"/>
  <workbookPr/>
  <mc:AlternateContent xmlns:mc="http://schemas.openxmlformats.org/markup-compatibility/2006">
    <mc:Choice Requires="x15">
      <x15ac:absPath xmlns:x15ac="http://schemas.microsoft.com/office/spreadsheetml/2010/11/ac" url="/Users/jesssteele/Dropbox/Friends of Hastings Pier/Friends Plan/June Revision/"/>
    </mc:Choice>
  </mc:AlternateContent>
  <bookViews>
    <workbookView xWindow="6280" yWindow="1940" windowWidth="40520" windowHeight="25180" tabRatio="500" activeTab="1"/>
  </bookViews>
  <sheets>
    <sheet name="Cover" sheetId="14" r:id="rId1"/>
    <sheet name="Transition phase" sheetId="9" r:id="rId2"/>
    <sheet name="Phase 2 capital" sheetId="10" r:id="rId3"/>
    <sheet name="Phase 2 steady" sheetId="12" r:id="rId4"/>
    <sheet name="Finance" sheetId="13" r:id="rId5"/>
    <sheet name="Original" sheetId="3" state="hidden" r:id="rId6"/>
    <sheet name="Notes" sheetId="7" r:id="rId7"/>
    <sheet name="Transition max" sheetId="4" state="hidden" r:id="rId8"/>
    <sheet name="Transition min " sheetId="5" state="hidden" r:id="rId9"/>
    <sheet name="Risks" sheetId="8" state="hidden" r:id="rId10"/>
    <sheet name="Year 1&amp;2&amp;3" sheetId="6" state="hidden" r:id="rId11"/>
    <sheet name="Assumptions" sheetId="1" state="hidden" r:id="rId12"/>
  </sheets>
  <definedNames>
    <definedName name="_xlnm.Print_Titles" localSheetId="3">'Phase 2 steady'!$1:$2</definedName>
    <definedName name="_xlnm.Print_Titles" localSheetId="1">'Transition phase'!$A:$A,'Transition phase'!$1:$1</definedName>
    <definedName name="_xlnm.Print_Titles" localSheetId="10">'Year 1&amp;2&amp;3'!$A:$A,'Year 1&amp;2&amp;3'!$1:$1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4" i="9" l="1"/>
  <c r="F45" i="9"/>
  <c r="F46" i="9"/>
  <c r="F47" i="9"/>
  <c r="F48" i="9"/>
  <c r="F50" i="9"/>
  <c r="F78" i="9"/>
  <c r="F80" i="9"/>
  <c r="F82" i="9"/>
  <c r="D79" i="12"/>
  <c r="E79" i="12"/>
  <c r="F79" i="12"/>
  <c r="G79" i="12"/>
  <c r="H79" i="12"/>
  <c r="I79" i="12"/>
  <c r="B55" i="9"/>
  <c r="G55" i="9"/>
  <c r="H55" i="9"/>
  <c r="I55" i="9"/>
  <c r="J55" i="9"/>
  <c r="K55" i="9"/>
  <c r="L55" i="9"/>
  <c r="M55" i="9"/>
  <c r="N55" i="9"/>
  <c r="O55" i="9"/>
  <c r="Q55" i="9"/>
  <c r="B56" i="9"/>
  <c r="G56" i="9"/>
  <c r="H56" i="9"/>
  <c r="I56" i="9"/>
  <c r="J56" i="9"/>
  <c r="K56" i="9"/>
  <c r="L56" i="9"/>
  <c r="M56" i="9"/>
  <c r="N56" i="9"/>
  <c r="O56" i="9"/>
  <c r="Q56" i="9"/>
  <c r="C77" i="12"/>
  <c r="G65" i="9"/>
  <c r="H65" i="9"/>
  <c r="I65" i="9"/>
  <c r="J65" i="9"/>
  <c r="K65" i="9"/>
  <c r="L65" i="9"/>
  <c r="M65" i="9"/>
  <c r="N65" i="9"/>
  <c r="O65" i="9"/>
  <c r="Q65" i="9"/>
  <c r="C47" i="12"/>
  <c r="R7" i="9"/>
  <c r="AF7" i="9"/>
  <c r="AG4" i="9"/>
  <c r="AG7" i="9"/>
  <c r="AG11" i="9"/>
  <c r="AG5" i="9"/>
  <c r="R8" i="9"/>
  <c r="AF8" i="9"/>
  <c r="AG8" i="9"/>
  <c r="AG12" i="9"/>
  <c r="S13" i="9"/>
  <c r="T13" i="9"/>
  <c r="U13" i="9"/>
  <c r="V13" i="9"/>
  <c r="W13" i="9"/>
  <c r="X13" i="9"/>
  <c r="Y13" i="9"/>
  <c r="Z13" i="9"/>
  <c r="AA13" i="9"/>
  <c r="AB13" i="9"/>
  <c r="AC13" i="9"/>
  <c r="AD13" i="9"/>
  <c r="AE13" i="9"/>
  <c r="AG13" i="9"/>
  <c r="S17" i="9"/>
  <c r="T17" i="9"/>
  <c r="U17" i="9"/>
  <c r="V17" i="9"/>
  <c r="W17" i="9"/>
  <c r="X17" i="9"/>
  <c r="Y17" i="9"/>
  <c r="Z17" i="9"/>
  <c r="AA17" i="9"/>
  <c r="AB17" i="9"/>
  <c r="AC17" i="9"/>
  <c r="AD17" i="9"/>
  <c r="AE17" i="9"/>
  <c r="AG17" i="9"/>
  <c r="AG19" i="9"/>
  <c r="AH4" i="9"/>
  <c r="AH7" i="9"/>
  <c r="AH11" i="9"/>
  <c r="AH5" i="9"/>
  <c r="AH8" i="9"/>
  <c r="AH12" i="9"/>
  <c r="AH13" i="9"/>
  <c r="AH17" i="9"/>
  <c r="AH19" i="9"/>
  <c r="AI4" i="9"/>
  <c r="AI7" i="9"/>
  <c r="AI11" i="9"/>
  <c r="AI5" i="9"/>
  <c r="AI8" i="9"/>
  <c r="AI12" i="9"/>
  <c r="AI13" i="9"/>
  <c r="AI17" i="9"/>
  <c r="AI19" i="9"/>
  <c r="AJ4" i="9"/>
  <c r="AJ7" i="9"/>
  <c r="AJ11" i="9"/>
  <c r="AJ5" i="9"/>
  <c r="AJ8" i="9"/>
  <c r="AJ12" i="9"/>
  <c r="AJ13" i="9"/>
  <c r="AJ15" i="9"/>
  <c r="AJ17" i="9"/>
  <c r="AJ19" i="9"/>
  <c r="AK4" i="9"/>
  <c r="AK7" i="9"/>
  <c r="AK11" i="9"/>
  <c r="AK5" i="9"/>
  <c r="AK8" i="9"/>
  <c r="AK12" i="9"/>
  <c r="AK13" i="9"/>
  <c r="AK15" i="9"/>
  <c r="AK17" i="9"/>
  <c r="AK19" i="9"/>
  <c r="AL4" i="9"/>
  <c r="AL7" i="9"/>
  <c r="AL11" i="9"/>
  <c r="AL5" i="9"/>
  <c r="AL8" i="9"/>
  <c r="AL12" i="9"/>
  <c r="AL13" i="9"/>
  <c r="AL17" i="9"/>
  <c r="AL19" i="9"/>
  <c r="AM4" i="9"/>
  <c r="AM7" i="9"/>
  <c r="AM11" i="9"/>
  <c r="AM5" i="9"/>
  <c r="AM8" i="9"/>
  <c r="AM12" i="9"/>
  <c r="AM13" i="9"/>
  <c r="AM15" i="9"/>
  <c r="AM17" i="9"/>
  <c r="AM19" i="9"/>
  <c r="AN4" i="9"/>
  <c r="AN7" i="9"/>
  <c r="AN11" i="9"/>
  <c r="AN5" i="9"/>
  <c r="AN8" i="9"/>
  <c r="AN12" i="9"/>
  <c r="AN13" i="9"/>
  <c r="AN15" i="9"/>
  <c r="AN17" i="9"/>
  <c r="AN19" i="9"/>
  <c r="AO4" i="9"/>
  <c r="AO7" i="9"/>
  <c r="AO11" i="9"/>
  <c r="AO5" i="9"/>
  <c r="AO8" i="9"/>
  <c r="AO12" i="9"/>
  <c r="AO13" i="9"/>
  <c r="AO17" i="9"/>
  <c r="AO19" i="9"/>
  <c r="AP19" i="9"/>
  <c r="AG22" i="9"/>
  <c r="AH22" i="9"/>
  <c r="AI22" i="9"/>
  <c r="AJ22" i="9"/>
  <c r="AK22" i="9"/>
  <c r="AL22" i="9"/>
  <c r="AM22" i="9"/>
  <c r="AO22" i="9"/>
  <c r="AP22" i="9"/>
  <c r="AG23" i="9"/>
  <c r="AH23" i="9"/>
  <c r="AI23" i="9"/>
  <c r="AJ23" i="9"/>
  <c r="AK23" i="9"/>
  <c r="AL23" i="9"/>
  <c r="AM23" i="9"/>
  <c r="AN23" i="9"/>
  <c r="AO23" i="9"/>
  <c r="AP23" i="9"/>
  <c r="AG25" i="9"/>
  <c r="AH25" i="9"/>
  <c r="AI25" i="9"/>
  <c r="AJ25" i="9"/>
  <c r="AK25" i="9"/>
  <c r="AL25" i="9"/>
  <c r="AM25" i="9"/>
  <c r="AN25" i="9"/>
  <c r="AO25" i="9"/>
  <c r="AP25" i="9"/>
  <c r="AG26" i="9"/>
  <c r="AH26" i="9"/>
  <c r="AI26" i="9"/>
  <c r="AJ26" i="9"/>
  <c r="AK26" i="9"/>
  <c r="AL26" i="9"/>
  <c r="AM26" i="9"/>
  <c r="AN26" i="9"/>
  <c r="AO26" i="9"/>
  <c r="AP26" i="9"/>
  <c r="AG27" i="9"/>
  <c r="AH27" i="9"/>
  <c r="AI27" i="9"/>
  <c r="AJ27" i="9"/>
  <c r="AK27" i="9"/>
  <c r="AL27" i="9"/>
  <c r="AM27" i="9"/>
  <c r="AN27" i="9"/>
  <c r="AO27" i="9"/>
  <c r="AP27" i="9"/>
  <c r="B29" i="9"/>
  <c r="O29" i="9"/>
  <c r="S29" i="9"/>
  <c r="T29" i="9"/>
  <c r="U29" i="9"/>
  <c r="V29" i="9"/>
  <c r="W29" i="9"/>
  <c r="X29" i="9"/>
  <c r="Y29" i="9"/>
  <c r="Z29" i="9"/>
  <c r="AA29" i="9"/>
  <c r="AB29" i="9"/>
  <c r="AC29" i="9"/>
  <c r="AG29" i="9"/>
  <c r="AH29" i="9"/>
  <c r="AI29" i="9"/>
  <c r="AJ29" i="9"/>
  <c r="AK29" i="9"/>
  <c r="AL29" i="9"/>
  <c r="AM29" i="9"/>
  <c r="AN29" i="9"/>
  <c r="AO29" i="9"/>
  <c r="AP29" i="9"/>
  <c r="O30" i="9"/>
  <c r="S30" i="9"/>
  <c r="T30" i="9"/>
  <c r="U30" i="9"/>
  <c r="V30" i="9"/>
  <c r="W30" i="9"/>
  <c r="X30" i="9"/>
  <c r="Y30" i="9"/>
  <c r="Z30" i="9"/>
  <c r="AA30" i="9"/>
  <c r="AB30" i="9"/>
  <c r="AC30" i="9"/>
  <c r="AG30" i="9"/>
  <c r="AH30" i="9"/>
  <c r="AI30" i="9"/>
  <c r="AJ30" i="9"/>
  <c r="AK30" i="9"/>
  <c r="AL30" i="9"/>
  <c r="AM30" i="9"/>
  <c r="AN30" i="9"/>
  <c r="AO30" i="9"/>
  <c r="AP30" i="9"/>
  <c r="G31" i="9"/>
  <c r="V31" i="9"/>
  <c r="AJ31" i="9"/>
  <c r="H31" i="9"/>
  <c r="W31" i="9"/>
  <c r="AK31" i="9"/>
  <c r="J31" i="9"/>
  <c r="Y31" i="9"/>
  <c r="AM31" i="9"/>
  <c r="K31" i="9"/>
  <c r="Z31" i="9"/>
  <c r="AN31" i="9"/>
  <c r="AP31" i="9"/>
  <c r="V32" i="9"/>
  <c r="AJ32" i="9"/>
  <c r="Y32" i="9"/>
  <c r="AM32" i="9"/>
  <c r="AP32" i="9"/>
  <c r="AJ33" i="9"/>
  <c r="AK33" i="9"/>
  <c r="AL33" i="9"/>
  <c r="AM33" i="9"/>
  <c r="AN33" i="9"/>
  <c r="AO33" i="9"/>
  <c r="AP33" i="9"/>
  <c r="S34" i="9"/>
  <c r="AG34" i="9"/>
  <c r="T34" i="9"/>
  <c r="AH34" i="9"/>
  <c r="U34" i="9"/>
  <c r="AI34" i="9"/>
  <c r="V34" i="9"/>
  <c r="AJ34" i="9"/>
  <c r="W34" i="9"/>
  <c r="AK34" i="9"/>
  <c r="X34" i="9"/>
  <c r="AL34" i="9"/>
  <c r="Y34" i="9"/>
  <c r="AM34" i="9"/>
  <c r="Z34" i="9"/>
  <c r="AN34" i="9"/>
  <c r="AA34" i="9"/>
  <c r="AO34" i="9"/>
  <c r="AP34" i="9"/>
  <c r="G35" i="9"/>
  <c r="S35" i="9"/>
  <c r="T35" i="9"/>
  <c r="U35" i="9"/>
  <c r="V35" i="9"/>
  <c r="W35" i="9"/>
  <c r="X35" i="9"/>
  <c r="Y35" i="9"/>
  <c r="Z35" i="9"/>
  <c r="AA35" i="9"/>
  <c r="AG35" i="9"/>
  <c r="AH35" i="9"/>
  <c r="AI35" i="9"/>
  <c r="AJ35" i="9"/>
  <c r="AK35" i="9"/>
  <c r="AL35" i="9"/>
  <c r="AM35" i="9"/>
  <c r="AN35" i="9"/>
  <c r="AO35" i="9"/>
  <c r="AP35" i="9"/>
  <c r="S36" i="9"/>
  <c r="T36" i="9"/>
  <c r="U36" i="9"/>
  <c r="V36" i="9"/>
  <c r="W36" i="9"/>
  <c r="X36" i="9"/>
  <c r="Y36" i="9"/>
  <c r="Z36" i="9"/>
  <c r="AA36" i="9"/>
  <c r="AB36" i="9"/>
  <c r="AC36" i="9"/>
  <c r="AD36" i="9"/>
  <c r="AE36" i="9"/>
  <c r="AG36" i="9"/>
  <c r="AH36" i="9"/>
  <c r="AI36" i="9"/>
  <c r="AJ36" i="9"/>
  <c r="AK36" i="9"/>
  <c r="AL36" i="9"/>
  <c r="AM36" i="9"/>
  <c r="AN36" i="9"/>
  <c r="AO36" i="9"/>
  <c r="AP36" i="9"/>
  <c r="AG37" i="9"/>
  <c r="AH37" i="9"/>
  <c r="AI37" i="9"/>
  <c r="AJ37" i="9"/>
  <c r="AK37" i="9"/>
  <c r="AL37" i="9"/>
  <c r="AM37" i="9"/>
  <c r="AN37" i="9"/>
  <c r="AO37" i="9"/>
  <c r="AP37" i="9"/>
  <c r="AP39" i="9"/>
  <c r="AP41" i="9"/>
  <c r="AN39" i="9"/>
  <c r="AN41" i="9"/>
  <c r="AO39" i="9"/>
  <c r="AO41" i="9"/>
  <c r="AH39" i="9"/>
  <c r="AH41" i="9"/>
  <c r="AI39" i="9"/>
  <c r="AI41" i="9"/>
  <c r="AJ39" i="9"/>
  <c r="AJ41" i="9"/>
  <c r="AK39" i="9"/>
  <c r="AK41" i="9"/>
  <c r="AL39" i="9"/>
  <c r="AL41" i="9"/>
  <c r="AM39" i="9"/>
  <c r="AM41" i="9"/>
  <c r="AG39" i="9"/>
  <c r="AG41" i="9"/>
  <c r="AA4" i="9"/>
  <c r="AA7" i="9"/>
  <c r="AA11" i="9"/>
  <c r="AA5" i="9"/>
  <c r="AA8" i="9"/>
  <c r="AA12" i="9"/>
  <c r="AA19" i="9"/>
  <c r="AA22" i="9"/>
  <c r="AA23" i="9"/>
  <c r="AA25" i="9"/>
  <c r="AA26" i="9"/>
  <c r="AA27" i="9"/>
  <c r="AA33" i="9"/>
  <c r="AA37" i="9"/>
  <c r="AA39" i="9"/>
  <c r="AA41" i="9"/>
  <c r="AB4" i="9"/>
  <c r="AB7" i="9"/>
  <c r="AB11" i="9"/>
  <c r="AB19" i="9"/>
  <c r="AB23" i="9"/>
  <c r="AB25" i="9"/>
  <c r="AB26" i="9"/>
  <c r="AB27" i="9"/>
  <c r="AB34" i="9"/>
  <c r="AB37" i="9"/>
  <c r="AB39" i="9"/>
  <c r="AB41" i="9"/>
  <c r="AC4" i="9"/>
  <c r="AC7" i="9"/>
  <c r="AC11" i="9"/>
  <c r="AC19" i="9"/>
  <c r="AC23" i="9"/>
  <c r="AC25" i="9"/>
  <c r="AC26" i="9"/>
  <c r="AC27" i="9"/>
  <c r="AC34" i="9"/>
  <c r="AC37" i="9"/>
  <c r="AC39" i="9"/>
  <c r="AC41" i="9"/>
  <c r="AD4" i="9"/>
  <c r="AD7" i="9"/>
  <c r="AD11" i="9"/>
  <c r="AD19" i="9"/>
  <c r="AD22" i="9"/>
  <c r="AD23" i="9"/>
  <c r="AD25" i="9"/>
  <c r="AD26" i="9"/>
  <c r="AD27" i="9"/>
  <c r="AD29" i="9"/>
  <c r="AD30" i="9"/>
  <c r="AD34" i="9"/>
  <c r="AD37" i="9"/>
  <c r="AD39" i="9"/>
  <c r="AD41" i="9"/>
  <c r="S4" i="9"/>
  <c r="S7" i="9"/>
  <c r="S11" i="9"/>
  <c r="S5" i="9"/>
  <c r="S8" i="9"/>
  <c r="S12" i="9"/>
  <c r="S19" i="9"/>
  <c r="T4" i="9"/>
  <c r="T7" i="9"/>
  <c r="T11" i="9"/>
  <c r="T5" i="9"/>
  <c r="T8" i="9"/>
  <c r="T12" i="9"/>
  <c r="T19" i="9"/>
  <c r="U4" i="9"/>
  <c r="U7" i="9"/>
  <c r="U11" i="9"/>
  <c r="U5" i="9"/>
  <c r="U8" i="9"/>
  <c r="U12" i="9"/>
  <c r="U19" i="9"/>
  <c r="V4" i="9"/>
  <c r="V7" i="9"/>
  <c r="V11" i="9"/>
  <c r="V5" i="9"/>
  <c r="V8" i="9"/>
  <c r="V12" i="9"/>
  <c r="V15" i="9"/>
  <c r="V19" i="9"/>
  <c r="W4" i="9"/>
  <c r="W7" i="9"/>
  <c r="W11" i="9"/>
  <c r="W5" i="9"/>
  <c r="W8" i="9"/>
  <c r="W12" i="9"/>
  <c r="W15" i="9"/>
  <c r="W19" i="9"/>
  <c r="X4" i="9"/>
  <c r="X7" i="9"/>
  <c r="X11" i="9"/>
  <c r="X5" i="9"/>
  <c r="X8" i="9"/>
  <c r="X12" i="9"/>
  <c r="X19" i="9"/>
  <c r="Y4" i="9"/>
  <c r="Y7" i="9"/>
  <c r="Y11" i="9"/>
  <c r="Y5" i="9"/>
  <c r="Y8" i="9"/>
  <c r="Y12" i="9"/>
  <c r="Y15" i="9"/>
  <c r="Y19" i="9"/>
  <c r="Z4" i="9"/>
  <c r="Z7" i="9"/>
  <c r="Z11" i="9"/>
  <c r="Z5" i="9"/>
  <c r="Z8" i="9"/>
  <c r="Z12" i="9"/>
  <c r="Z15" i="9"/>
  <c r="Z19" i="9"/>
  <c r="AE19" i="9"/>
  <c r="S22" i="9"/>
  <c r="T22" i="9"/>
  <c r="U22" i="9"/>
  <c r="V22" i="9"/>
  <c r="W22" i="9"/>
  <c r="X22" i="9"/>
  <c r="Y22" i="9"/>
  <c r="AE22" i="9"/>
  <c r="S23" i="9"/>
  <c r="T23" i="9"/>
  <c r="U23" i="9"/>
  <c r="V23" i="9"/>
  <c r="W23" i="9"/>
  <c r="X23" i="9"/>
  <c r="Y23" i="9"/>
  <c r="Z23" i="9"/>
  <c r="AE23" i="9"/>
  <c r="S25" i="9"/>
  <c r="T25" i="9"/>
  <c r="U25" i="9"/>
  <c r="V25" i="9"/>
  <c r="W25" i="9"/>
  <c r="X25" i="9"/>
  <c r="Y25" i="9"/>
  <c r="Z25" i="9"/>
  <c r="AE25" i="9"/>
  <c r="S26" i="9"/>
  <c r="T26" i="9"/>
  <c r="U26" i="9"/>
  <c r="V26" i="9"/>
  <c r="W26" i="9"/>
  <c r="X26" i="9"/>
  <c r="Y26" i="9"/>
  <c r="Z26" i="9"/>
  <c r="AE26" i="9"/>
  <c r="S27" i="9"/>
  <c r="T27" i="9"/>
  <c r="U27" i="9"/>
  <c r="V27" i="9"/>
  <c r="W27" i="9"/>
  <c r="X27" i="9"/>
  <c r="Y27" i="9"/>
  <c r="Z27" i="9"/>
  <c r="AE27" i="9"/>
  <c r="AE29" i="9"/>
  <c r="AE30" i="9"/>
  <c r="AE31" i="9"/>
  <c r="AE32" i="9"/>
  <c r="V33" i="9"/>
  <c r="W33" i="9"/>
  <c r="X33" i="9"/>
  <c r="Y33" i="9"/>
  <c r="Z33" i="9"/>
  <c r="AE33" i="9"/>
  <c r="AE34" i="9"/>
  <c r="AE35" i="9"/>
  <c r="S37" i="9"/>
  <c r="T37" i="9"/>
  <c r="U37" i="9"/>
  <c r="V37" i="9"/>
  <c r="W37" i="9"/>
  <c r="X37" i="9"/>
  <c r="Y37" i="9"/>
  <c r="Z37" i="9"/>
  <c r="AE37" i="9"/>
  <c r="AE39" i="9"/>
  <c r="AE41" i="9"/>
  <c r="T39" i="9"/>
  <c r="T41" i="9"/>
  <c r="U39" i="9"/>
  <c r="U41" i="9"/>
  <c r="V39" i="9"/>
  <c r="V41" i="9"/>
  <c r="W39" i="9"/>
  <c r="W41" i="9"/>
  <c r="X39" i="9"/>
  <c r="X41" i="9"/>
  <c r="Y39" i="9"/>
  <c r="Y41" i="9"/>
  <c r="Z39" i="9"/>
  <c r="Z41" i="9"/>
  <c r="S39" i="9"/>
  <c r="S41" i="9"/>
  <c r="B53" i="9"/>
  <c r="G53" i="9"/>
  <c r="G57" i="9"/>
  <c r="G60" i="9"/>
  <c r="G64" i="9"/>
  <c r="G66" i="9"/>
  <c r="G68" i="9"/>
  <c r="G71" i="9"/>
  <c r="G72" i="9"/>
  <c r="G73" i="9"/>
  <c r="B74" i="9"/>
  <c r="G74" i="9"/>
  <c r="G75" i="9"/>
  <c r="G78" i="9"/>
  <c r="G80" i="9"/>
  <c r="H53" i="9"/>
  <c r="B54" i="9"/>
  <c r="H54" i="9"/>
  <c r="H57" i="9"/>
  <c r="H60" i="9"/>
  <c r="H64" i="9"/>
  <c r="H66" i="9"/>
  <c r="H68" i="9"/>
  <c r="H71" i="9"/>
  <c r="H72" i="9"/>
  <c r="H73" i="9"/>
  <c r="H74" i="9"/>
  <c r="H75" i="9"/>
  <c r="H78" i="9"/>
  <c r="H80" i="9"/>
  <c r="I53" i="9"/>
  <c r="I54" i="9"/>
  <c r="I57" i="9"/>
  <c r="I60" i="9"/>
  <c r="I64" i="9"/>
  <c r="I66" i="9"/>
  <c r="I68" i="9"/>
  <c r="I71" i="9"/>
  <c r="I72" i="9"/>
  <c r="I73" i="9"/>
  <c r="I74" i="9"/>
  <c r="I75" i="9"/>
  <c r="I78" i="9"/>
  <c r="I80" i="9"/>
  <c r="J53" i="9"/>
  <c r="J54" i="9"/>
  <c r="J57" i="9"/>
  <c r="J60" i="9"/>
  <c r="J64" i="9"/>
  <c r="J66" i="9"/>
  <c r="J68" i="9"/>
  <c r="J71" i="9"/>
  <c r="J72" i="9"/>
  <c r="J73" i="9"/>
  <c r="J74" i="9"/>
  <c r="J75" i="9"/>
  <c r="J78" i="9"/>
  <c r="J80" i="9"/>
  <c r="K53" i="9"/>
  <c r="K54" i="9"/>
  <c r="K57" i="9"/>
  <c r="K60" i="9"/>
  <c r="K64" i="9"/>
  <c r="K66" i="9"/>
  <c r="K68" i="9"/>
  <c r="K71" i="9"/>
  <c r="K72" i="9"/>
  <c r="K73" i="9"/>
  <c r="K74" i="9"/>
  <c r="K75" i="9"/>
  <c r="K78" i="9"/>
  <c r="K80" i="9"/>
  <c r="L53" i="9"/>
  <c r="L54" i="9"/>
  <c r="L57" i="9"/>
  <c r="L60" i="9"/>
  <c r="L64" i="9"/>
  <c r="L66" i="9"/>
  <c r="L68" i="9"/>
  <c r="L71" i="9"/>
  <c r="L72" i="9"/>
  <c r="L73" i="9"/>
  <c r="L74" i="9"/>
  <c r="L75" i="9"/>
  <c r="L78" i="9"/>
  <c r="L80" i="9"/>
  <c r="M53" i="9"/>
  <c r="M54" i="9"/>
  <c r="M57" i="9"/>
  <c r="M60" i="9"/>
  <c r="M64" i="9"/>
  <c r="M66" i="9"/>
  <c r="M68" i="9"/>
  <c r="M71" i="9"/>
  <c r="M72" i="9"/>
  <c r="M73" i="9"/>
  <c r="M74" i="9"/>
  <c r="M75" i="9"/>
  <c r="M78" i="9"/>
  <c r="M80" i="9"/>
  <c r="N53" i="9"/>
  <c r="N54" i="9"/>
  <c r="N57" i="9"/>
  <c r="N60" i="9"/>
  <c r="N64" i="9"/>
  <c r="N66" i="9"/>
  <c r="N68" i="9"/>
  <c r="N71" i="9"/>
  <c r="N72" i="9"/>
  <c r="N73" i="9"/>
  <c r="N74" i="9"/>
  <c r="N75" i="9"/>
  <c r="N78" i="9"/>
  <c r="N80" i="9"/>
  <c r="O53" i="9"/>
  <c r="O54" i="9"/>
  <c r="O57" i="9"/>
  <c r="O60" i="9"/>
  <c r="O64" i="9"/>
  <c r="O66" i="9"/>
  <c r="O68" i="9"/>
  <c r="O71" i="9"/>
  <c r="O72" i="9"/>
  <c r="O73" i="9"/>
  <c r="O74" i="9"/>
  <c r="O75" i="9"/>
  <c r="O78" i="9"/>
  <c r="O80" i="9"/>
  <c r="Q80" i="9"/>
  <c r="O34" i="9"/>
  <c r="N34" i="9"/>
  <c r="M34" i="9"/>
  <c r="I2" i="7"/>
  <c r="J2" i="7"/>
  <c r="K2" i="7"/>
  <c r="G15" i="9"/>
  <c r="H15" i="9"/>
  <c r="I3" i="7"/>
  <c r="J3" i="7"/>
  <c r="K3" i="7"/>
  <c r="J15" i="9"/>
  <c r="K15" i="9"/>
  <c r="Q15" i="9"/>
  <c r="B15" i="9"/>
  <c r="Q7" i="9"/>
  <c r="K11" i="9"/>
  <c r="K4" i="9"/>
  <c r="K5" i="9"/>
  <c r="K8" i="9"/>
  <c r="K12" i="9"/>
  <c r="K13" i="9"/>
  <c r="K17" i="9"/>
  <c r="K19" i="9"/>
  <c r="K29" i="9"/>
  <c r="G7" i="7"/>
  <c r="K35" i="9"/>
  <c r="K36" i="9"/>
  <c r="K30" i="9"/>
  <c r="K37" i="9"/>
  <c r="K23" i="9"/>
  <c r="K25" i="9"/>
  <c r="K26" i="9"/>
  <c r="K27" i="9"/>
  <c r="K33" i="9"/>
  <c r="E44" i="7"/>
  <c r="E45" i="7"/>
  <c r="E46" i="7"/>
  <c r="G44" i="7"/>
  <c r="K34" i="9"/>
  <c r="K39" i="9"/>
  <c r="K41" i="9"/>
  <c r="L29" i="9"/>
  <c r="L35" i="9"/>
  <c r="L36" i="9"/>
  <c r="L30" i="9"/>
  <c r="L37" i="9"/>
  <c r="L11" i="9"/>
  <c r="L22" i="9"/>
  <c r="L23" i="9"/>
  <c r="L4" i="9"/>
  <c r="L5" i="9"/>
  <c r="L8" i="9"/>
  <c r="L12" i="9"/>
  <c r="L25" i="9"/>
  <c r="L26" i="9"/>
  <c r="L13" i="9"/>
  <c r="L27" i="9"/>
  <c r="L33" i="9"/>
  <c r="E48" i="7"/>
  <c r="E49" i="7"/>
  <c r="E50" i="7"/>
  <c r="G48" i="7"/>
  <c r="L34" i="9"/>
  <c r="L39" i="9"/>
  <c r="L17" i="9"/>
  <c r="L19" i="9"/>
  <c r="L41" i="9"/>
  <c r="M29" i="9"/>
  <c r="M36" i="9"/>
  <c r="M30" i="9"/>
  <c r="M37" i="9"/>
  <c r="M11" i="9"/>
  <c r="M23" i="9"/>
  <c r="M25" i="9"/>
  <c r="M26" i="9"/>
  <c r="M13" i="9"/>
  <c r="M27" i="9"/>
  <c r="M39" i="9"/>
  <c r="M17" i="9"/>
  <c r="M19" i="9"/>
  <c r="M41" i="9"/>
  <c r="N29" i="9"/>
  <c r="N36" i="9"/>
  <c r="N30" i="9"/>
  <c r="N37" i="9"/>
  <c r="N11" i="9"/>
  <c r="N23" i="9"/>
  <c r="N25" i="9"/>
  <c r="N26" i="9"/>
  <c r="N13" i="9"/>
  <c r="N27" i="9"/>
  <c r="N39" i="9"/>
  <c r="N17" i="9"/>
  <c r="N19" i="9"/>
  <c r="N41" i="9"/>
  <c r="O36" i="9"/>
  <c r="O37" i="9"/>
  <c r="O11" i="9"/>
  <c r="O22" i="9"/>
  <c r="O23" i="9"/>
  <c r="O25" i="9"/>
  <c r="O26" i="9"/>
  <c r="O13" i="9"/>
  <c r="O27" i="9"/>
  <c r="O39" i="9"/>
  <c r="O17" i="9"/>
  <c r="O19" i="9"/>
  <c r="O41" i="9"/>
  <c r="H11" i="9"/>
  <c r="H4" i="9"/>
  <c r="H5" i="9"/>
  <c r="H8" i="9"/>
  <c r="H12" i="9"/>
  <c r="H13" i="9"/>
  <c r="H19" i="9"/>
  <c r="H29" i="9"/>
  <c r="G6" i="7"/>
  <c r="G8" i="7"/>
  <c r="H35" i="9"/>
  <c r="H36" i="9"/>
  <c r="H30" i="9"/>
  <c r="H37" i="9"/>
  <c r="H22" i="9"/>
  <c r="H23" i="9"/>
  <c r="H25" i="9"/>
  <c r="H26" i="9"/>
  <c r="H27" i="9"/>
  <c r="H33" i="9"/>
  <c r="E52" i="7"/>
  <c r="E53" i="7"/>
  <c r="E54" i="7"/>
  <c r="G52" i="7"/>
  <c r="H34" i="9"/>
  <c r="H39" i="9"/>
  <c r="H41" i="9"/>
  <c r="I29" i="9"/>
  <c r="I35" i="9"/>
  <c r="I36" i="9"/>
  <c r="I30" i="9"/>
  <c r="I37" i="9"/>
  <c r="I11" i="9"/>
  <c r="I22" i="9"/>
  <c r="I23" i="9"/>
  <c r="I4" i="9"/>
  <c r="I5" i="9"/>
  <c r="I8" i="9"/>
  <c r="I12" i="9"/>
  <c r="I25" i="9"/>
  <c r="I26" i="9"/>
  <c r="I13" i="9"/>
  <c r="I27" i="9"/>
  <c r="I33" i="9"/>
  <c r="I34" i="9"/>
  <c r="I39" i="9"/>
  <c r="I19" i="9"/>
  <c r="I41" i="9"/>
  <c r="J11" i="9"/>
  <c r="J4" i="9"/>
  <c r="J5" i="9"/>
  <c r="J8" i="9"/>
  <c r="J12" i="9"/>
  <c r="J13" i="9"/>
  <c r="J17" i="9"/>
  <c r="J19" i="9"/>
  <c r="J29" i="9"/>
  <c r="J35" i="9"/>
  <c r="J36" i="9"/>
  <c r="J30" i="9"/>
  <c r="J37" i="9"/>
  <c r="J22" i="9"/>
  <c r="J23" i="9"/>
  <c r="J25" i="9"/>
  <c r="J26" i="9"/>
  <c r="J27" i="9"/>
  <c r="J33" i="9"/>
  <c r="J34" i="9"/>
  <c r="J39" i="9"/>
  <c r="J41" i="9"/>
  <c r="G11" i="9"/>
  <c r="G4" i="9"/>
  <c r="G5" i="9"/>
  <c r="G8" i="9"/>
  <c r="G12" i="9"/>
  <c r="G13" i="9"/>
  <c r="G19" i="9"/>
  <c r="G29" i="9"/>
  <c r="G36" i="9"/>
  <c r="G30" i="9"/>
  <c r="G37" i="9"/>
  <c r="G22" i="9"/>
  <c r="G23" i="9"/>
  <c r="G24" i="9"/>
  <c r="G25" i="9"/>
  <c r="G26" i="9"/>
  <c r="G27" i="9"/>
  <c r="G33" i="9"/>
  <c r="G34" i="9"/>
  <c r="G39" i="9"/>
  <c r="G41" i="9"/>
  <c r="Q37" i="9"/>
  <c r="Q27" i="9"/>
  <c r="AP5" i="9"/>
  <c r="AP7" i="9"/>
  <c r="AP8" i="9"/>
  <c r="AE8" i="9"/>
  <c r="D4" i="9"/>
  <c r="D5" i="9"/>
  <c r="E4" i="9"/>
  <c r="E5" i="9"/>
  <c r="F4" i="9"/>
  <c r="F5" i="9"/>
  <c r="M4" i="9"/>
  <c r="M5" i="9"/>
  <c r="N4" i="9"/>
  <c r="N5" i="9"/>
  <c r="O4" i="9"/>
  <c r="O5" i="9"/>
  <c r="Q5" i="9"/>
  <c r="Q8" i="9"/>
  <c r="E8" i="9"/>
  <c r="F8" i="9"/>
  <c r="D8" i="9"/>
  <c r="F85" i="9"/>
  <c r="G82" i="9"/>
  <c r="G85" i="9"/>
  <c r="H82" i="9"/>
  <c r="H85" i="9"/>
  <c r="I82" i="9"/>
  <c r="I85" i="9"/>
  <c r="J82" i="9"/>
  <c r="J85" i="9"/>
  <c r="K82" i="9"/>
  <c r="K85" i="9"/>
  <c r="L82" i="9"/>
  <c r="L85" i="9"/>
  <c r="M82" i="9"/>
  <c r="M85" i="9"/>
  <c r="N82" i="9"/>
  <c r="N85" i="9"/>
  <c r="O82" i="9"/>
  <c r="O85" i="9"/>
  <c r="S53" i="9"/>
  <c r="S54" i="9"/>
  <c r="S55" i="9"/>
  <c r="S56" i="9"/>
  <c r="S57" i="9"/>
  <c r="S60" i="9"/>
  <c r="S71" i="9"/>
  <c r="S72" i="9"/>
  <c r="S73" i="9"/>
  <c r="S74" i="9"/>
  <c r="S75" i="9"/>
  <c r="S78" i="9"/>
  <c r="S64" i="9"/>
  <c r="S65" i="9"/>
  <c r="S66" i="9"/>
  <c r="S68" i="9"/>
  <c r="S82" i="9"/>
  <c r="S85" i="9"/>
  <c r="T53" i="9"/>
  <c r="T54" i="9"/>
  <c r="T55" i="9"/>
  <c r="T56" i="9"/>
  <c r="T57" i="9"/>
  <c r="T60" i="9"/>
  <c r="T71" i="9"/>
  <c r="T72" i="9"/>
  <c r="T73" i="9"/>
  <c r="T74" i="9"/>
  <c r="T75" i="9"/>
  <c r="T78" i="9"/>
  <c r="T64" i="9"/>
  <c r="T65" i="9"/>
  <c r="T66" i="9"/>
  <c r="T68" i="9"/>
  <c r="T82" i="9"/>
  <c r="T85" i="9"/>
  <c r="U53" i="9"/>
  <c r="U54" i="9"/>
  <c r="U55" i="9"/>
  <c r="U56" i="9"/>
  <c r="U57" i="9"/>
  <c r="U60" i="9"/>
  <c r="U71" i="9"/>
  <c r="U72" i="9"/>
  <c r="U73" i="9"/>
  <c r="U74" i="9"/>
  <c r="U75" i="9"/>
  <c r="U78" i="9"/>
  <c r="U64" i="9"/>
  <c r="U65" i="9"/>
  <c r="U66" i="9"/>
  <c r="U68" i="9"/>
  <c r="U82" i="9"/>
  <c r="U85" i="9"/>
  <c r="V53" i="9"/>
  <c r="V54" i="9"/>
  <c r="V55" i="9"/>
  <c r="V56" i="9"/>
  <c r="V57" i="9"/>
  <c r="V60" i="9"/>
  <c r="V71" i="9"/>
  <c r="V72" i="9"/>
  <c r="V73" i="9"/>
  <c r="V74" i="9"/>
  <c r="V75" i="9"/>
  <c r="V78" i="9"/>
  <c r="V64" i="9"/>
  <c r="V65" i="9"/>
  <c r="V66" i="9"/>
  <c r="V68" i="9"/>
  <c r="V82" i="9"/>
  <c r="V85" i="9"/>
  <c r="W53" i="9"/>
  <c r="W54" i="9"/>
  <c r="W55" i="9"/>
  <c r="W56" i="9"/>
  <c r="W57" i="9"/>
  <c r="W60" i="9"/>
  <c r="W71" i="9"/>
  <c r="W72" i="9"/>
  <c r="W73" i="9"/>
  <c r="W74" i="9"/>
  <c r="W75" i="9"/>
  <c r="W78" i="9"/>
  <c r="W64" i="9"/>
  <c r="W65" i="9"/>
  <c r="W66" i="9"/>
  <c r="W68" i="9"/>
  <c r="W82" i="9"/>
  <c r="W85" i="9"/>
  <c r="X53" i="9"/>
  <c r="X54" i="9"/>
  <c r="X55" i="9"/>
  <c r="X56" i="9"/>
  <c r="X57" i="9"/>
  <c r="X60" i="9"/>
  <c r="X71" i="9"/>
  <c r="X72" i="9"/>
  <c r="X73" i="9"/>
  <c r="X74" i="9"/>
  <c r="X75" i="9"/>
  <c r="X78" i="9"/>
  <c r="X64" i="9"/>
  <c r="X65" i="9"/>
  <c r="X66" i="9"/>
  <c r="X68" i="9"/>
  <c r="X82" i="9"/>
  <c r="X85" i="9"/>
  <c r="Y53" i="9"/>
  <c r="Y54" i="9"/>
  <c r="Y55" i="9"/>
  <c r="Y56" i="9"/>
  <c r="Y57" i="9"/>
  <c r="Y60" i="9"/>
  <c r="Y71" i="9"/>
  <c r="Y72" i="9"/>
  <c r="Y73" i="9"/>
  <c r="Y74" i="9"/>
  <c r="Y75" i="9"/>
  <c r="Y78" i="9"/>
  <c r="Y64" i="9"/>
  <c r="Y65" i="9"/>
  <c r="Y66" i="9"/>
  <c r="Y68" i="9"/>
  <c r="Y82" i="9"/>
  <c r="Y85" i="9"/>
  <c r="Z53" i="9"/>
  <c r="Z54" i="9"/>
  <c r="Z55" i="9"/>
  <c r="Z56" i="9"/>
  <c r="Z57" i="9"/>
  <c r="Z60" i="9"/>
  <c r="Z71" i="9"/>
  <c r="Z72" i="9"/>
  <c r="Z73" i="9"/>
  <c r="Z74" i="9"/>
  <c r="Z75" i="9"/>
  <c r="Z78" i="9"/>
  <c r="Z64" i="9"/>
  <c r="Z65" i="9"/>
  <c r="Z66" i="9"/>
  <c r="Z68" i="9"/>
  <c r="Z82" i="9"/>
  <c r="Z85" i="9"/>
  <c r="AA53" i="9"/>
  <c r="AA54" i="9"/>
  <c r="AA55" i="9"/>
  <c r="AA56" i="9"/>
  <c r="AA57" i="9"/>
  <c r="AA60" i="9"/>
  <c r="AA71" i="9"/>
  <c r="AA72" i="9"/>
  <c r="AA73" i="9"/>
  <c r="AA74" i="9"/>
  <c r="AA75" i="9"/>
  <c r="AA78" i="9"/>
  <c r="AA64" i="9"/>
  <c r="AA65" i="9"/>
  <c r="AA66" i="9"/>
  <c r="AA68" i="9"/>
  <c r="AA82" i="9"/>
  <c r="AA85" i="9"/>
  <c r="AB5" i="9"/>
  <c r="AB53" i="9"/>
  <c r="AB54" i="9"/>
  <c r="AB55" i="9"/>
  <c r="AB56" i="9"/>
  <c r="AB57" i="9"/>
  <c r="AB60" i="9"/>
  <c r="AB71" i="9"/>
  <c r="AB72" i="9"/>
  <c r="AB73" i="9"/>
  <c r="AB74" i="9"/>
  <c r="AB75" i="9"/>
  <c r="AB78" i="9"/>
  <c r="AB64" i="9"/>
  <c r="AB65" i="9"/>
  <c r="AB66" i="9"/>
  <c r="AB68" i="9"/>
  <c r="AB82" i="9"/>
  <c r="AB85" i="9"/>
  <c r="AC5" i="9"/>
  <c r="AC53" i="9"/>
  <c r="AC54" i="9"/>
  <c r="AC55" i="9"/>
  <c r="AC56" i="9"/>
  <c r="AC57" i="9"/>
  <c r="AC60" i="9"/>
  <c r="AC71" i="9"/>
  <c r="AC72" i="9"/>
  <c r="AC73" i="9"/>
  <c r="AC74" i="9"/>
  <c r="AC75" i="9"/>
  <c r="AC78" i="9"/>
  <c r="AC64" i="9"/>
  <c r="AC65" i="9"/>
  <c r="AC66" i="9"/>
  <c r="AC68" i="9"/>
  <c r="AC82" i="9"/>
  <c r="AC85" i="9"/>
  <c r="AD5" i="9"/>
  <c r="AD53" i="9"/>
  <c r="AD54" i="9"/>
  <c r="AD55" i="9"/>
  <c r="AD56" i="9"/>
  <c r="AD57" i="9"/>
  <c r="AD60" i="9"/>
  <c r="AD71" i="9"/>
  <c r="AD72" i="9"/>
  <c r="AD73" i="9"/>
  <c r="AD74" i="9"/>
  <c r="AD75" i="9"/>
  <c r="AD78" i="9"/>
  <c r="AD64" i="9"/>
  <c r="AD65" i="9"/>
  <c r="AD66" i="9"/>
  <c r="AD68" i="9"/>
  <c r="AD82" i="9"/>
  <c r="AD85" i="9"/>
  <c r="AG53" i="9"/>
  <c r="AG54" i="9"/>
  <c r="AG55" i="9"/>
  <c r="AG56" i="9"/>
  <c r="AG57" i="9"/>
  <c r="AG60" i="9"/>
  <c r="AG71" i="9"/>
  <c r="AG72" i="9"/>
  <c r="AG73" i="9"/>
  <c r="AG74" i="9"/>
  <c r="AG75" i="9"/>
  <c r="AG78" i="9"/>
  <c r="AG64" i="9"/>
  <c r="AG65" i="9"/>
  <c r="AG66" i="9"/>
  <c r="AG68" i="9"/>
  <c r="AG82" i="9"/>
  <c r="AG85" i="9"/>
  <c r="AH53" i="9"/>
  <c r="AH54" i="9"/>
  <c r="AH55" i="9"/>
  <c r="AH56" i="9"/>
  <c r="AH57" i="9"/>
  <c r="AH60" i="9"/>
  <c r="AH71" i="9"/>
  <c r="AH72" i="9"/>
  <c r="AH73" i="9"/>
  <c r="AH74" i="9"/>
  <c r="AH75" i="9"/>
  <c r="AH78" i="9"/>
  <c r="AH64" i="9"/>
  <c r="AH65" i="9"/>
  <c r="AH66" i="9"/>
  <c r="AH68" i="9"/>
  <c r="AH82" i="9"/>
  <c r="AH85" i="9"/>
  <c r="AI53" i="9"/>
  <c r="AI54" i="9"/>
  <c r="AI55" i="9"/>
  <c r="AI56" i="9"/>
  <c r="AI57" i="9"/>
  <c r="AI60" i="9"/>
  <c r="AI71" i="9"/>
  <c r="AI72" i="9"/>
  <c r="AI73" i="9"/>
  <c r="AI74" i="9"/>
  <c r="AI75" i="9"/>
  <c r="AI76" i="9"/>
  <c r="AI78" i="9"/>
  <c r="AI64" i="9"/>
  <c r="AI65" i="9"/>
  <c r="AI66" i="9"/>
  <c r="AI68" i="9"/>
  <c r="AI82" i="9"/>
  <c r="AI85" i="9"/>
  <c r="AJ53" i="9"/>
  <c r="AJ54" i="9"/>
  <c r="AJ55" i="9"/>
  <c r="AJ56" i="9"/>
  <c r="AJ57" i="9"/>
  <c r="AJ60" i="9"/>
  <c r="AJ71" i="9"/>
  <c r="AJ72" i="9"/>
  <c r="AJ73" i="9"/>
  <c r="AJ74" i="9"/>
  <c r="AJ75" i="9"/>
  <c r="AJ76" i="9"/>
  <c r="AJ78" i="9"/>
  <c r="AJ64" i="9"/>
  <c r="AJ65" i="9"/>
  <c r="AJ66" i="9"/>
  <c r="AJ68" i="9"/>
  <c r="AJ82" i="9"/>
  <c r="AJ85" i="9"/>
  <c r="AK53" i="9"/>
  <c r="AK54" i="9"/>
  <c r="AK55" i="9"/>
  <c r="AK56" i="9"/>
  <c r="AK57" i="9"/>
  <c r="AK60" i="9"/>
  <c r="AK71" i="9"/>
  <c r="AK72" i="9"/>
  <c r="AK73" i="9"/>
  <c r="AK74" i="9"/>
  <c r="AK75" i="9"/>
  <c r="AK76" i="9"/>
  <c r="AK78" i="9"/>
  <c r="AK64" i="9"/>
  <c r="AK65" i="9"/>
  <c r="AK66" i="9"/>
  <c r="AK68" i="9"/>
  <c r="AK82" i="9"/>
  <c r="AK85" i="9"/>
  <c r="AL53" i="9"/>
  <c r="AL54" i="9"/>
  <c r="AL55" i="9"/>
  <c r="AL56" i="9"/>
  <c r="AL57" i="9"/>
  <c r="AL60" i="9"/>
  <c r="AL71" i="9"/>
  <c r="AL72" i="9"/>
  <c r="AL73" i="9"/>
  <c r="AL74" i="9"/>
  <c r="AL75" i="9"/>
  <c r="AL76" i="9"/>
  <c r="AL78" i="9"/>
  <c r="AL64" i="9"/>
  <c r="AL65" i="9"/>
  <c r="AL66" i="9"/>
  <c r="AL68" i="9"/>
  <c r="AL82" i="9"/>
  <c r="AL85" i="9"/>
  <c r="AM53" i="9"/>
  <c r="AM54" i="9"/>
  <c r="AM55" i="9"/>
  <c r="AM56" i="9"/>
  <c r="AM57" i="9"/>
  <c r="AM60" i="9"/>
  <c r="AM71" i="9"/>
  <c r="AM72" i="9"/>
  <c r="AM73" i="9"/>
  <c r="AM74" i="9"/>
  <c r="AM75" i="9"/>
  <c r="AM76" i="9"/>
  <c r="AM78" i="9"/>
  <c r="AM64" i="9"/>
  <c r="AM65" i="9"/>
  <c r="AM66" i="9"/>
  <c r="AM68" i="9"/>
  <c r="AM82" i="9"/>
  <c r="AM85" i="9"/>
  <c r="AN53" i="9"/>
  <c r="AN54" i="9"/>
  <c r="AN55" i="9"/>
  <c r="AN56" i="9"/>
  <c r="AN57" i="9"/>
  <c r="AN60" i="9"/>
  <c r="AN71" i="9"/>
  <c r="AN72" i="9"/>
  <c r="AN73" i="9"/>
  <c r="AN74" i="9"/>
  <c r="AN75" i="9"/>
  <c r="AN76" i="9"/>
  <c r="AN78" i="9"/>
  <c r="AN64" i="9"/>
  <c r="AN65" i="9"/>
  <c r="AN66" i="9"/>
  <c r="AN68" i="9"/>
  <c r="AN82" i="9"/>
  <c r="AN85" i="9"/>
  <c r="AO53" i="9"/>
  <c r="AO54" i="9"/>
  <c r="AO55" i="9"/>
  <c r="AO56" i="9"/>
  <c r="AO57" i="9"/>
  <c r="AO60" i="9"/>
  <c r="AO71" i="9"/>
  <c r="AO72" i="9"/>
  <c r="AO73" i="9"/>
  <c r="AO74" i="9"/>
  <c r="AO75" i="9"/>
  <c r="AO76" i="9"/>
  <c r="AO78" i="9"/>
  <c r="AO64" i="9"/>
  <c r="AO65" i="9"/>
  <c r="AO66" i="9"/>
  <c r="AO68" i="9"/>
  <c r="AO82" i="9"/>
  <c r="AO85" i="9"/>
  <c r="E67" i="7"/>
  <c r="F67" i="7"/>
  <c r="E73" i="7"/>
  <c r="E41" i="7"/>
  <c r="E34" i="7"/>
  <c r="E35" i="7"/>
  <c r="B38" i="7"/>
  <c r="E38" i="7"/>
  <c r="B55" i="13"/>
  <c r="E30" i="13"/>
  <c r="C81" i="12"/>
  <c r="D81" i="12"/>
  <c r="E81" i="12"/>
  <c r="B33" i="13"/>
  <c r="E35" i="13"/>
  <c r="E33" i="13"/>
  <c r="E34" i="13"/>
  <c r="B39" i="13"/>
  <c r="E39" i="13"/>
  <c r="D75" i="12"/>
  <c r="E75" i="12"/>
  <c r="F75" i="12"/>
  <c r="G75" i="12"/>
  <c r="H75" i="12"/>
  <c r="I75" i="12"/>
  <c r="D76" i="12"/>
  <c r="D78" i="12"/>
  <c r="E78" i="12"/>
  <c r="F78" i="12"/>
  <c r="C69" i="12"/>
  <c r="D69" i="12"/>
  <c r="C70" i="12"/>
  <c r="D70" i="12"/>
  <c r="D5" i="12"/>
  <c r="D10" i="12"/>
  <c r="D11" i="12"/>
  <c r="D12" i="12"/>
  <c r="D13" i="12"/>
  <c r="E13" i="12"/>
  <c r="D14" i="12"/>
  <c r="E14" i="12"/>
  <c r="F14" i="12"/>
  <c r="G14" i="12"/>
  <c r="H14" i="12"/>
  <c r="I14" i="12"/>
  <c r="D22" i="12"/>
  <c r="C23" i="12"/>
  <c r="D23" i="12"/>
  <c r="E23" i="12"/>
  <c r="F23" i="12"/>
  <c r="G23" i="12"/>
  <c r="H23" i="12"/>
  <c r="I23" i="12"/>
  <c r="C10" i="12"/>
  <c r="C21" i="12"/>
  <c r="C17" i="12"/>
  <c r="C24" i="12"/>
  <c r="D24" i="12"/>
  <c r="E24" i="12"/>
  <c r="F24" i="12"/>
  <c r="G24" i="12"/>
  <c r="D25" i="12"/>
  <c r="E25" i="12"/>
  <c r="F25" i="12"/>
  <c r="G25" i="12"/>
  <c r="H25" i="12"/>
  <c r="I25" i="12"/>
  <c r="D33" i="12"/>
  <c r="E33" i="12"/>
  <c r="D34" i="12"/>
  <c r="E34" i="12"/>
  <c r="F34" i="12"/>
  <c r="G34" i="12"/>
  <c r="D35" i="12"/>
  <c r="E35" i="12"/>
  <c r="F35" i="12"/>
  <c r="G35" i="12"/>
  <c r="D36" i="12"/>
  <c r="C37" i="12"/>
  <c r="D37" i="12"/>
  <c r="D38" i="12"/>
  <c r="E38" i="12"/>
  <c r="F38" i="12"/>
  <c r="G38" i="12"/>
  <c r="H38" i="12"/>
  <c r="I38" i="12"/>
  <c r="D39" i="12"/>
  <c r="C40" i="12"/>
  <c r="D40" i="12"/>
  <c r="E40" i="12"/>
  <c r="F40" i="12"/>
  <c r="G40" i="12"/>
  <c r="H40" i="12"/>
  <c r="I40" i="12"/>
  <c r="D42" i="12"/>
  <c r="D45" i="12"/>
  <c r="D46" i="12"/>
  <c r="E46" i="12"/>
  <c r="D54" i="12"/>
  <c r="D55" i="12"/>
  <c r="C56" i="12"/>
  <c r="D56" i="12"/>
  <c r="D57" i="12"/>
  <c r="E57" i="12"/>
  <c r="F57" i="12"/>
  <c r="G57" i="12"/>
  <c r="H57" i="12"/>
  <c r="I57" i="12"/>
  <c r="D58" i="12"/>
  <c r="E58" i="12"/>
  <c r="F58" i="12"/>
  <c r="G58" i="12"/>
  <c r="H58" i="12"/>
  <c r="I58" i="12"/>
  <c r="E76" i="12"/>
  <c r="F76" i="12"/>
  <c r="G76" i="12"/>
  <c r="H76" i="12"/>
  <c r="I76" i="12"/>
  <c r="E70" i="12"/>
  <c r="E5" i="12"/>
  <c r="E10" i="12"/>
  <c r="E11" i="12"/>
  <c r="E12" i="12"/>
  <c r="E20" i="12"/>
  <c r="E21" i="12"/>
  <c r="E36" i="12"/>
  <c r="F36" i="12"/>
  <c r="E37" i="12"/>
  <c r="E39" i="12"/>
  <c r="E45" i="12"/>
  <c r="E55" i="12"/>
  <c r="F55" i="12"/>
  <c r="G55" i="12"/>
  <c r="H55" i="12"/>
  <c r="I55" i="12"/>
  <c r="E56" i="12"/>
  <c r="F56" i="12"/>
  <c r="G56" i="12"/>
  <c r="F81" i="12"/>
  <c r="G81" i="12"/>
  <c r="H81" i="12"/>
  <c r="I81" i="12"/>
  <c r="F83" i="12"/>
  <c r="G83" i="12"/>
  <c r="H83" i="12"/>
  <c r="I83" i="12"/>
  <c r="F69" i="12"/>
  <c r="F70" i="12"/>
  <c r="F72" i="12"/>
  <c r="G70" i="12"/>
  <c r="H70" i="12"/>
  <c r="I70" i="12"/>
  <c r="F12" i="12"/>
  <c r="F13" i="12"/>
  <c r="G13" i="12"/>
  <c r="H13" i="12"/>
  <c r="I13" i="12"/>
  <c r="F33" i="12"/>
  <c r="G33" i="12"/>
  <c r="H33" i="12"/>
  <c r="I33" i="12"/>
  <c r="F37" i="12"/>
  <c r="F39" i="12"/>
  <c r="F46" i="12"/>
  <c r="G46" i="12"/>
  <c r="H46" i="12"/>
  <c r="I46" i="12"/>
  <c r="G78" i="12"/>
  <c r="H78" i="12"/>
  <c r="I78" i="12"/>
  <c r="G12" i="12"/>
  <c r="H12" i="12"/>
  <c r="I12" i="12"/>
  <c r="G36" i="12"/>
  <c r="H36" i="12"/>
  <c r="I36" i="12"/>
  <c r="G37" i="12"/>
  <c r="H37" i="12"/>
  <c r="I37" i="12"/>
  <c r="G39" i="12"/>
  <c r="G45" i="12"/>
  <c r="H24" i="12"/>
  <c r="I24" i="12"/>
  <c r="H34" i="12"/>
  <c r="I34" i="12"/>
  <c r="H35" i="12"/>
  <c r="I35" i="12"/>
  <c r="H39" i="12"/>
  <c r="I39" i="12"/>
  <c r="I42" i="12"/>
  <c r="H45" i="12"/>
  <c r="H56" i="12"/>
  <c r="I56" i="12"/>
  <c r="I45" i="12"/>
  <c r="C20" i="12"/>
  <c r="C22" i="12"/>
  <c r="C27" i="12"/>
  <c r="C29" i="12"/>
  <c r="C60" i="12"/>
  <c r="C5" i="13"/>
  <c r="C24" i="13"/>
  <c r="D24" i="13"/>
  <c r="B24" i="13"/>
  <c r="E26" i="1"/>
  <c r="E27" i="1"/>
  <c r="C47" i="1"/>
  <c r="Q14" i="9"/>
  <c r="Q16" i="9"/>
  <c r="E47" i="1"/>
  <c r="C10" i="10"/>
  <c r="C12" i="10"/>
  <c r="C14" i="10"/>
  <c r="E59" i="1"/>
  <c r="E67" i="1"/>
  <c r="H57" i="3"/>
  <c r="I57" i="3"/>
  <c r="E66" i="1"/>
  <c r="H56" i="3"/>
  <c r="C68" i="1"/>
  <c r="C72" i="1"/>
  <c r="C59" i="1"/>
  <c r="C70" i="1"/>
  <c r="C37" i="1"/>
  <c r="C45" i="1"/>
  <c r="E28" i="1"/>
  <c r="C72" i="12"/>
  <c r="C6" i="10"/>
  <c r="Q44" i="9"/>
  <c r="Q45" i="9"/>
  <c r="Q47" i="9"/>
  <c r="Q48" i="9"/>
  <c r="Q63" i="9"/>
  <c r="Q46" i="9"/>
  <c r="AP63" i="9"/>
  <c r="AE63" i="9"/>
  <c r="Q32" i="9"/>
  <c r="AP16" i="9"/>
  <c r="AE16" i="9"/>
  <c r="AP14" i="9"/>
  <c r="AE14" i="9"/>
  <c r="H7" i="9"/>
  <c r="AP2" i="9"/>
  <c r="AE2" i="9"/>
  <c r="Q2" i="9"/>
  <c r="S25" i="6"/>
  <c r="T25" i="6"/>
  <c r="U25" i="6"/>
  <c r="V25" i="6"/>
  <c r="W25" i="6"/>
  <c r="X25" i="6"/>
  <c r="Y25" i="6"/>
  <c r="Z25" i="6"/>
  <c r="AA25" i="6"/>
  <c r="AB25" i="6"/>
  <c r="AC25" i="6"/>
  <c r="AD25" i="6"/>
  <c r="AE25" i="6"/>
  <c r="Y23" i="6"/>
  <c r="AE23" i="6"/>
  <c r="AM23" i="6"/>
  <c r="AS23" i="6"/>
  <c r="V23" i="6"/>
  <c r="AJ23" i="6"/>
  <c r="AK24" i="6"/>
  <c r="AL24" i="6"/>
  <c r="AM24" i="6"/>
  <c r="AN24" i="6"/>
  <c r="AO24" i="6"/>
  <c r="AJ24" i="6"/>
  <c r="AS24" i="6"/>
  <c r="W24" i="6"/>
  <c r="X24" i="6"/>
  <c r="Y24" i="6"/>
  <c r="Z24" i="6"/>
  <c r="AA24" i="6"/>
  <c r="V24" i="6"/>
  <c r="J22" i="6"/>
  <c r="Y22" i="6"/>
  <c r="AM22" i="6"/>
  <c r="K22" i="6"/>
  <c r="Z22" i="6"/>
  <c r="AN22" i="6"/>
  <c r="S12" i="6"/>
  <c r="T12" i="6"/>
  <c r="U12" i="6"/>
  <c r="V12" i="6"/>
  <c r="W12" i="6"/>
  <c r="X12" i="6"/>
  <c r="Y12" i="6"/>
  <c r="Z12" i="6"/>
  <c r="AA12" i="6"/>
  <c r="AB12" i="6"/>
  <c r="AC12" i="6"/>
  <c r="AD12" i="6"/>
  <c r="S8" i="6"/>
  <c r="S16" i="6"/>
  <c r="T8" i="6"/>
  <c r="T21" i="6"/>
  <c r="U8" i="6"/>
  <c r="V8" i="6"/>
  <c r="W8" i="6"/>
  <c r="W21" i="6"/>
  <c r="X8" i="6"/>
  <c r="Y8" i="6"/>
  <c r="Y21" i="6"/>
  <c r="Z8" i="6"/>
  <c r="AA8" i="6"/>
  <c r="AA21" i="6"/>
  <c r="AB8" i="6"/>
  <c r="AC8" i="6"/>
  <c r="AD8" i="6"/>
  <c r="AE8" i="6"/>
  <c r="AQ8" i="6"/>
  <c r="AQ21" i="6"/>
  <c r="R4" i="6"/>
  <c r="T4" i="6"/>
  <c r="T7" i="6"/>
  <c r="AF4" i="6"/>
  <c r="AH3" i="6"/>
  <c r="AI3" i="6"/>
  <c r="AJ3" i="6"/>
  <c r="AK3" i="6"/>
  <c r="AK4" i="6"/>
  <c r="AL3" i="6"/>
  <c r="AM3" i="6"/>
  <c r="AM4" i="6"/>
  <c r="AM7" i="6"/>
  <c r="AN3" i="6"/>
  <c r="AO3" i="6"/>
  <c r="AO4" i="6"/>
  <c r="AO7" i="6"/>
  <c r="AP3" i="6"/>
  <c r="AQ3" i="6"/>
  <c r="AR3" i="6"/>
  <c r="AG3" i="6"/>
  <c r="AG4" i="6"/>
  <c r="AG7" i="6"/>
  <c r="T3" i="6"/>
  <c r="U3" i="6"/>
  <c r="U4" i="6"/>
  <c r="U7" i="6"/>
  <c r="U20" i="6"/>
  <c r="V3" i="6"/>
  <c r="W3" i="6"/>
  <c r="W4" i="6"/>
  <c r="X3" i="6"/>
  <c r="Y3" i="6"/>
  <c r="Y4" i="6"/>
  <c r="Z3" i="6"/>
  <c r="AA3" i="6"/>
  <c r="AA4" i="6"/>
  <c r="AA7" i="6"/>
  <c r="AA20" i="6"/>
  <c r="AB3" i="6"/>
  <c r="AC3" i="6"/>
  <c r="AC4" i="6"/>
  <c r="AC7" i="6"/>
  <c r="AC16" i="6"/>
  <c r="AD3" i="6"/>
  <c r="S3" i="6"/>
  <c r="S4" i="6"/>
  <c r="S7" i="6"/>
  <c r="AJ14" i="6"/>
  <c r="AK7" i="6"/>
  <c r="AK14" i="6"/>
  <c r="AL14" i="6"/>
  <c r="F36" i="6"/>
  <c r="AS2" i="6"/>
  <c r="AE2" i="6"/>
  <c r="Q4" i="6"/>
  <c r="G8" i="6"/>
  <c r="G21" i="6"/>
  <c r="G24" i="6"/>
  <c r="G25" i="6"/>
  <c r="H8" i="6"/>
  <c r="H24" i="6"/>
  <c r="H25" i="6"/>
  <c r="J8" i="6"/>
  <c r="J12" i="6"/>
  <c r="J21" i="6"/>
  <c r="J24" i="6"/>
  <c r="J25" i="6"/>
  <c r="K10" i="6"/>
  <c r="K8" i="6"/>
  <c r="K12" i="6"/>
  <c r="K21" i="6"/>
  <c r="K24" i="6"/>
  <c r="K25" i="6"/>
  <c r="I8" i="6"/>
  <c r="I21" i="6"/>
  <c r="I24" i="6"/>
  <c r="I25" i="6"/>
  <c r="L7" i="6"/>
  <c r="L8" i="6"/>
  <c r="L12" i="6"/>
  <c r="L21" i="6"/>
  <c r="L24" i="6"/>
  <c r="L25" i="6"/>
  <c r="M7" i="6"/>
  <c r="M16" i="6"/>
  <c r="M8" i="6"/>
  <c r="M21" i="6"/>
  <c r="M12" i="6"/>
  <c r="M20" i="6"/>
  <c r="M25" i="6"/>
  <c r="N8" i="6"/>
  <c r="N12" i="6"/>
  <c r="N21" i="6"/>
  <c r="N25" i="6"/>
  <c r="O7" i="6"/>
  <c r="O8" i="6"/>
  <c r="O21" i="6"/>
  <c r="O12" i="6"/>
  <c r="O20" i="6"/>
  <c r="O25" i="6"/>
  <c r="B41" i="6"/>
  <c r="J41" i="6"/>
  <c r="N41" i="6"/>
  <c r="B42" i="6"/>
  <c r="I42" i="6"/>
  <c r="B43" i="6"/>
  <c r="L43" i="6"/>
  <c r="B46" i="6"/>
  <c r="J46" i="6"/>
  <c r="N46" i="6"/>
  <c r="B47" i="6"/>
  <c r="N47" i="6"/>
  <c r="G44" i="6"/>
  <c r="G45" i="6"/>
  <c r="H44" i="6"/>
  <c r="H45" i="6"/>
  <c r="I44" i="6"/>
  <c r="I45" i="6"/>
  <c r="J44" i="6"/>
  <c r="J45" i="6"/>
  <c r="K44" i="6"/>
  <c r="K45" i="6"/>
  <c r="L44" i="6"/>
  <c r="L45" i="6"/>
  <c r="M44" i="6"/>
  <c r="M45" i="6"/>
  <c r="N44" i="6"/>
  <c r="N45" i="6"/>
  <c r="O44" i="6"/>
  <c r="S44" i="6"/>
  <c r="T44" i="6"/>
  <c r="U44" i="6"/>
  <c r="V44" i="6"/>
  <c r="W44" i="6"/>
  <c r="X44" i="6"/>
  <c r="Y44" i="6"/>
  <c r="Z44" i="6"/>
  <c r="AA44" i="6"/>
  <c r="AB44" i="6"/>
  <c r="AC44" i="6"/>
  <c r="O45" i="6"/>
  <c r="G63" i="6"/>
  <c r="H63" i="6"/>
  <c r="I63" i="6"/>
  <c r="J63" i="6"/>
  <c r="K63" i="6"/>
  <c r="K69" i="6"/>
  <c r="L63" i="6"/>
  <c r="M63" i="6"/>
  <c r="N63" i="6"/>
  <c r="O63" i="6"/>
  <c r="S63" i="6"/>
  <c r="G64" i="6"/>
  <c r="H64" i="6"/>
  <c r="I64" i="6"/>
  <c r="J64" i="6"/>
  <c r="K64" i="6"/>
  <c r="L64" i="6"/>
  <c r="M64" i="6"/>
  <c r="N64" i="6"/>
  <c r="O64" i="6"/>
  <c r="G65" i="6"/>
  <c r="H65" i="6"/>
  <c r="H69" i="6"/>
  <c r="I65" i="6"/>
  <c r="J65" i="6"/>
  <c r="K65" i="6"/>
  <c r="L65" i="6"/>
  <c r="L69" i="6"/>
  <c r="M65" i="6"/>
  <c r="N65" i="6"/>
  <c r="O65" i="6"/>
  <c r="S65" i="6"/>
  <c r="Q65" i="6"/>
  <c r="G66" i="6"/>
  <c r="H66" i="6"/>
  <c r="I66" i="6"/>
  <c r="J66" i="6"/>
  <c r="K66" i="6"/>
  <c r="L66" i="6"/>
  <c r="M66" i="6"/>
  <c r="N66" i="6"/>
  <c r="O66" i="6"/>
  <c r="G67" i="6"/>
  <c r="H67" i="6"/>
  <c r="I67" i="6"/>
  <c r="J67" i="6"/>
  <c r="K67" i="6"/>
  <c r="L67" i="6"/>
  <c r="M67" i="6"/>
  <c r="N67" i="6"/>
  <c r="O67" i="6"/>
  <c r="Q67" i="6"/>
  <c r="G62" i="6"/>
  <c r="H62" i="6"/>
  <c r="I62" i="6"/>
  <c r="J62" i="6"/>
  <c r="K62" i="6"/>
  <c r="L62" i="6"/>
  <c r="M62" i="6"/>
  <c r="N62" i="6"/>
  <c r="O62" i="6"/>
  <c r="Q53" i="6"/>
  <c r="G54" i="6"/>
  <c r="H54" i="6"/>
  <c r="I54" i="6"/>
  <c r="J54" i="6"/>
  <c r="J59" i="6"/>
  <c r="K54" i="6"/>
  <c r="L54" i="6"/>
  <c r="M54" i="6"/>
  <c r="N54" i="6"/>
  <c r="N59" i="6"/>
  <c r="O54" i="6"/>
  <c r="G55" i="6"/>
  <c r="H55" i="6"/>
  <c r="I55" i="6"/>
  <c r="J55" i="6"/>
  <c r="K55" i="6"/>
  <c r="K59" i="6"/>
  <c r="L55" i="6"/>
  <c r="M55" i="6"/>
  <c r="N55" i="6"/>
  <c r="O55" i="6"/>
  <c r="S55" i="6"/>
  <c r="T55" i="6"/>
  <c r="G56" i="6"/>
  <c r="H56" i="6"/>
  <c r="I56" i="6"/>
  <c r="J56" i="6"/>
  <c r="K56" i="6"/>
  <c r="L56" i="6"/>
  <c r="M56" i="6"/>
  <c r="M59" i="6"/>
  <c r="N56" i="6"/>
  <c r="O56" i="6"/>
  <c r="G57" i="6"/>
  <c r="H57" i="6"/>
  <c r="I57" i="6"/>
  <c r="J57" i="6"/>
  <c r="K57" i="6"/>
  <c r="L57" i="6"/>
  <c r="M57" i="6"/>
  <c r="N57" i="6"/>
  <c r="O57" i="6"/>
  <c r="S57" i="6"/>
  <c r="Q57" i="6"/>
  <c r="S45" i="6"/>
  <c r="T45" i="6"/>
  <c r="S64" i="6"/>
  <c r="S66" i="6"/>
  <c r="T66" i="6"/>
  <c r="S67" i="6"/>
  <c r="S62" i="6"/>
  <c r="S20" i="6"/>
  <c r="S21" i="6"/>
  <c r="S54" i="6"/>
  <c r="S56" i="6"/>
  <c r="T64" i="6"/>
  <c r="T65" i="6"/>
  <c r="U65" i="6"/>
  <c r="V65" i="6"/>
  <c r="W65" i="6"/>
  <c r="X65" i="6"/>
  <c r="Y65" i="6"/>
  <c r="Z65" i="6"/>
  <c r="AA65" i="6"/>
  <c r="AB65" i="6"/>
  <c r="AC65" i="6"/>
  <c r="T62" i="6"/>
  <c r="T16" i="6"/>
  <c r="T19" i="6"/>
  <c r="T27" i="6"/>
  <c r="T20" i="6"/>
  <c r="T54" i="6"/>
  <c r="T56" i="6"/>
  <c r="U56" i="6"/>
  <c r="V56" i="6"/>
  <c r="W56" i="6"/>
  <c r="X56" i="6"/>
  <c r="Y56" i="6"/>
  <c r="Z56" i="6"/>
  <c r="AA56" i="6"/>
  <c r="AB56" i="6"/>
  <c r="AC56" i="6"/>
  <c r="U45" i="6"/>
  <c r="V45" i="6"/>
  <c r="U64" i="6"/>
  <c r="U66" i="6"/>
  <c r="V66" i="6"/>
  <c r="U62" i="6"/>
  <c r="U16" i="6"/>
  <c r="U19" i="6"/>
  <c r="U27" i="6"/>
  <c r="U21" i="6"/>
  <c r="U55" i="6"/>
  <c r="V55" i="6"/>
  <c r="V14" i="6"/>
  <c r="V21" i="6"/>
  <c r="V64" i="6"/>
  <c r="W7" i="6"/>
  <c r="W14" i="6"/>
  <c r="W45" i="6"/>
  <c r="X45" i="6"/>
  <c r="Y45" i="6"/>
  <c r="Z45" i="6"/>
  <c r="W64" i="6"/>
  <c r="W66" i="6"/>
  <c r="X66" i="6"/>
  <c r="Y66" i="6"/>
  <c r="X64" i="6"/>
  <c r="Y64" i="6"/>
  <c r="Z64" i="6"/>
  <c r="X14" i="6"/>
  <c r="X21" i="6"/>
  <c r="Y7" i="6"/>
  <c r="Y20" i="6"/>
  <c r="Z21" i="6"/>
  <c r="Z66" i="6"/>
  <c r="AA66" i="6"/>
  <c r="AA45" i="6"/>
  <c r="AB45" i="6"/>
  <c r="AC45" i="6"/>
  <c r="AA64" i="6"/>
  <c r="AB64" i="6"/>
  <c r="AC64" i="6"/>
  <c r="AA16" i="6"/>
  <c r="AA19" i="6"/>
  <c r="AA27" i="6"/>
  <c r="AB21" i="6"/>
  <c r="AC21" i="6"/>
  <c r="AD64" i="6"/>
  <c r="AE64" i="6"/>
  <c r="AD21" i="6"/>
  <c r="AG64" i="6"/>
  <c r="AH64" i="6"/>
  <c r="AI64" i="6"/>
  <c r="AJ64" i="6"/>
  <c r="AK64" i="6"/>
  <c r="AK20" i="6"/>
  <c r="AL64" i="6"/>
  <c r="AM64" i="6"/>
  <c r="AN64" i="6"/>
  <c r="AO64" i="6"/>
  <c r="AP64" i="6"/>
  <c r="AQ64" i="6"/>
  <c r="AR64" i="6"/>
  <c r="AM20" i="6"/>
  <c r="AO20" i="6"/>
  <c r="F35" i="6"/>
  <c r="F32" i="6"/>
  <c r="F33" i="6"/>
  <c r="F34" i="6"/>
  <c r="G59" i="6"/>
  <c r="J69" i="6"/>
  <c r="M69" i="6"/>
  <c r="O69" i="6"/>
  <c r="O59" i="6"/>
  <c r="AS53" i="6"/>
  <c r="AS14" i="6"/>
  <c r="AS13" i="6"/>
  <c r="AS11" i="6"/>
  <c r="AS9" i="6"/>
  <c r="Q23" i="6"/>
  <c r="AE24" i="6"/>
  <c r="AE13" i="6"/>
  <c r="Q13" i="6"/>
  <c r="Q14" i="6"/>
  <c r="AE53" i="6"/>
  <c r="C8" i="4"/>
  <c r="Q12" i="6"/>
  <c r="AE9" i="6"/>
  <c r="AE11" i="6"/>
  <c r="Q2" i="6"/>
  <c r="C4" i="5"/>
  <c r="Q9" i="6"/>
  <c r="Q11" i="6"/>
  <c r="M3" i="6"/>
  <c r="N3" i="6"/>
  <c r="N4" i="6"/>
  <c r="O3" i="6"/>
  <c r="M4" i="6"/>
  <c r="O4" i="6"/>
  <c r="C12" i="5"/>
  <c r="E3" i="7"/>
  <c r="E2" i="7"/>
  <c r="D3" i="6"/>
  <c r="D4" i="6"/>
  <c r="E3" i="6"/>
  <c r="E4" i="6"/>
  <c r="F3" i="6"/>
  <c r="F4" i="6"/>
  <c r="G3" i="6"/>
  <c r="G4" i="6"/>
  <c r="H3" i="6"/>
  <c r="H4" i="6"/>
  <c r="I3" i="6"/>
  <c r="I4" i="6"/>
  <c r="J3" i="6"/>
  <c r="J4" i="6"/>
  <c r="K3" i="6"/>
  <c r="K4" i="6"/>
  <c r="L3" i="6"/>
  <c r="L4" i="6"/>
  <c r="C47" i="4"/>
  <c r="C6" i="4"/>
  <c r="C14" i="4"/>
  <c r="C31" i="4"/>
  <c r="C32" i="4"/>
  <c r="B35" i="4"/>
  <c r="C29" i="5"/>
  <c r="C30" i="5"/>
  <c r="D24" i="5"/>
  <c r="D27" i="5"/>
  <c r="D18" i="5"/>
  <c r="D17" i="5"/>
  <c r="D12" i="5"/>
  <c r="D29" i="4"/>
  <c r="D19" i="4"/>
  <c r="D20" i="4"/>
  <c r="E52" i="3"/>
  <c r="F52" i="3"/>
  <c r="G52" i="3"/>
  <c r="H52" i="3"/>
  <c r="E61" i="1"/>
  <c r="H51" i="3"/>
  <c r="E50" i="3"/>
  <c r="E51" i="3"/>
  <c r="F51" i="3"/>
  <c r="E58" i="3"/>
  <c r="F58" i="3"/>
  <c r="E59" i="3"/>
  <c r="F59" i="3"/>
  <c r="G59" i="3"/>
  <c r="H59" i="3"/>
  <c r="I59" i="3"/>
  <c r="J59" i="3"/>
  <c r="K59" i="3"/>
  <c r="E60" i="3"/>
  <c r="F60" i="3"/>
  <c r="G60" i="3"/>
  <c r="E61" i="3"/>
  <c r="F61" i="3"/>
  <c r="G61" i="3"/>
  <c r="H61" i="3"/>
  <c r="E63" i="3"/>
  <c r="F63" i="3"/>
  <c r="G63" i="3"/>
  <c r="H63" i="3"/>
  <c r="I63" i="3"/>
  <c r="J63" i="3"/>
  <c r="K63" i="3"/>
  <c r="G51" i="3"/>
  <c r="G58" i="3"/>
  <c r="H58" i="3"/>
  <c r="I58" i="3"/>
  <c r="J58" i="3"/>
  <c r="K58" i="3"/>
  <c r="H50" i="3"/>
  <c r="I50" i="3"/>
  <c r="J50" i="3"/>
  <c r="H54" i="3"/>
  <c r="I51" i="3"/>
  <c r="J51" i="3"/>
  <c r="K51" i="3"/>
  <c r="I60" i="3"/>
  <c r="I61" i="3"/>
  <c r="J61" i="3"/>
  <c r="K61" i="3"/>
  <c r="J60" i="3"/>
  <c r="K60" i="3"/>
  <c r="E37" i="3"/>
  <c r="F37" i="3"/>
  <c r="E38" i="3"/>
  <c r="F38" i="3"/>
  <c r="G38" i="3"/>
  <c r="E40" i="3"/>
  <c r="F40" i="3"/>
  <c r="G40" i="3"/>
  <c r="H40" i="3"/>
  <c r="I40" i="3"/>
  <c r="J40" i="3"/>
  <c r="K40" i="3"/>
  <c r="E41" i="3"/>
  <c r="F41" i="3"/>
  <c r="G41" i="3"/>
  <c r="H41" i="3"/>
  <c r="I41" i="3"/>
  <c r="J41" i="3"/>
  <c r="K41" i="3"/>
  <c r="E30" i="3"/>
  <c r="F30" i="3"/>
  <c r="G30" i="3"/>
  <c r="E31" i="3"/>
  <c r="F31" i="3"/>
  <c r="G31" i="3"/>
  <c r="H31" i="3"/>
  <c r="I31" i="3"/>
  <c r="G37" i="3"/>
  <c r="H38" i="3"/>
  <c r="I38" i="3"/>
  <c r="J38" i="3"/>
  <c r="K38" i="3"/>
  <c r="I30" i="3"/>
  <c r="J30" i="3"/>
  <c r="K30" i="3"/>
  <c r="E43" i="1"/>
  <c r="E44" i="1"/>
  <c r="E46" i="1"/>
  <c r="H30" i="3"/>
  <c r="E25" i="1"/>
  <c r="C12" i="1"/>
  <c r="C7" i="1"/>
  <c r="B16" i="3"/>
  <c r="C8" i="1"/>
  <c r="B17" i="3"/>
  <c r="C6" i="3"/>
  <c r="C11" i="3"/>
  <c r="C21" i="3"/>
  <c r="D21" i="3"/>
  <c r="E6" i="3"/>
  <c r="E11" i="3"/>
  <c r="E30" i="1"/>
  <c r="C9" i="1"/>
  <c r="B18" i="3"/>
  <c r="C18" i="3"/>
  <c r="B11" i="3"/>
  <c r="D20" i="3"/>
  <c r="D11" i="3"/>
  <c r="E23" i="3"/>
  <c r="C30" i="1"/>
  <c r="E63" i="1"/>
  <c r="E68" i="1"/>
  <c r="E71" i="1"/>
  <c r="E73" i="1"/>
  <c r="E36" i="1"/>
  <c r="E37" i="1"/>
  <c r="C63" i="1"/>
  <c r="F36" i="1"/>
  <c r="C22" i="1"/>
  <c r="C30" i="12"/>
  <c r="L7" i="9"/>
  <c r="Q66" i="9"/>
  <c r="G7" i="9"/>
  <c r="AP12" i="9"/>
  <c r="Q73" i="9"/>
  <c r="Q64" i="9"/>
  <c r="Q12" i="9"/>
  <c r="AP4" i="9"/>
  <c r="AD56" i="6"/>
  <c r="AG56" i="6"/>
  <c r="W55" i="6"/>
  <c r="X55" i="6"/>
  <c r="Y55" i="6"/>
  <c r="Z55" i="6"/>
  <c r="AA55" i="6"/>
  <c r="AB55" i="6"/>
  <c r="AC55" i="6"/>
  <c r="I56" i="3"/>
  <c r="J56" i="3"/>
  <c r="K56" i="3"/>
  <c r="AG45" i="6"/>
  <c r="AD45" i="6"/>
  <c r="AD65" i="6"/>
  <c r="AE65" i="6"/>
  <c r="AG65" i="6"/>
  <c r="AB66" i="6"/>
  <c r="AC66" i="6"/>
  <c r="D18" i="3"/>
  <c r="C23" i="3"/>
  <c r="C15" i="4"/>
  <c r="D15" i="4"/>
  <c r="C16" i="4"/>
  <c r="C34" i="4"/>
  <c r="D14" i="4"/>
  <c r="D16" i="4"/>
  <c r="T67" i="6"/>
  <c r="U67" i="6"/>
  <c r="V67" i="6"/>
  <c r="W67" i="6"/>
  <c r="X67" i="6"/>
  <c r="Y67" i="6"/>
  <c r="Z67" i="6"/>
  <c r="AA67" i="6"/>
  <c r="AB67" i="6"/>
  <c r="AC67" i="6"/>
  <c r="Q56" i="6"/>
  <c r="M29" i="6"/>
  <c r="AG20" i="6"/>
  <c r="AJ25" i="6"/>
  <c r="AN25" i="6"/>
  <c r="AR25" i="6"/>
  <c r="AH25" i="6"/>
  <c r="AM25" i="6"/>
  <c r="AG25" i="6"/>
  <c r="AI25" i="6"/>
  <c r="AO25" i="6"/>
  <c r="AK25" i="6"/>
  <c r="AL25" i="6"/>
  <c r="AP25" i="6"/>
  <c r="I59" i="6"/>
  <c r="W20" i="6"/>
  <c r="AE21" i="6"/>
  <c r="S69" i="6"/>
  <c r="T63" i="6"/>
  <c r="U63" i="6"/>
  <c r="V63" i="6"/>
  <c r="W63" i="6"/>
  <c r="X63" i="6"/>
  <c r="Y63" i="6"/>
  <c r="Z63" i="6"/>
  <c r="AA63" i="6"/>
  <c r="AB63" i="6"/>
  <c r="AC63" i="6"/>
  <c r="Q63" i="6"/>
  <c r="H47" i="6"/>
  <c r="L47" i="6"/>
  <c r="G47" i="6"/>
  <c r="Q47" i="6"/>
  <c r="M47" i="6"/>
  <c r="I47" i="6"/>
  <c r="O47" i="6"/>
  <c r="S47" i="6"/>
  <c r="T47" i="6"/>
  <c r="U47" i="6"/>
  <c r="V47" i="6"/>
  <c r="W47" i="6"/>
  <c r="X47" i="6"/>
  <c r="Y47" i="6"/>
  <c r="Z47" i="6"/>
  <c r="AA47" i="6"/>
  <c r="AB47" i="6"/>
  <c r="AC47" i="6"/>
  <c r="J47" i="6"/>
  <c r="K47" i="6"/>
  <c r="I43" i="6"/>
  <c r="M43" i="6"/>
  <c r="J43" i="6"/>
  <c r="O43" i="6"/>
  <c r="S43" i="6"/>
  <c r="T43" i="6"/>
  <c r="U43" i="6"/>
  <c r="V43" i="6"/>
  <c r="W43" i="6"/>
  <c r="X43" i="6"/>
  <c r="Y43" i="6"/>
  <c r="Z43" i="6"/>
  <c r="AA43" i="6"/>
  <c r="AB43" i="6"/>
  <c r="AC43" i="6"/>
  <c r="G43" i="6"/>
  <c r="Q43" i="6"/>
  <c r="N43" i="6"/>
  <c r="H43" i="6"/>
  <c r="K43" i="6"/>
  <c r="N7" i="9"/>
  <c r="J7" i="9"/>
  <c r="AJ10" i="6"/>
  <c r="AK10" i="6"/>
  <c r="AM10" i="6"/>
  <c r="AN10" i="6"/>
  <c r="AS10" i="6"/>
  <c r="W10" i="6"/>
  <c r="W16" i="6"/>
  <c r="G10" i="6"/>
  <c r="H10" i="6"/>
  <c r="J10" i="6"/>
  <c r="Q10" i="6"/>
  <c r="V10" i="6"/>
  <c r="E22" i="12"/>
  <c r="E17" i="12"/>
  <c r="F11" i="12"/>
  <c r="F43" i="3"/>
  <c r="F32" i="3"/>
  <c r="F34" i="3"/>
  <c r="F45" i="3"/>
  <c r="F50" i="3"/>
  <c r="E54" i="3"/>
  <c r="C13" i="5"/>
  <c r="D13" i="5"/>
  <c r="D14" i="5"/>
  <c r="AS64" i="6"/>
  <c r="F38" i="6"/>
  <c r="F71" i="6"/>
  <c r="F74" i="6"/>
  <c r="AC20" i="6"/>
  <c r="AA29" i="6"/>
  <c r="U29" i="6"/>
  <c r="T29" i="6"/>
  <c r="Q64" i="6"/>
  <c r="I69" i="6"/>
  <c r="G22" i="6"/>
  <c r="H22" i="6"/>
  <c r="W22" i="6"/>
  <c r="AK22" i="6"/>
  <c r="G69" i="12"/>
  <c r="F42" i="12"/>
  <c r="E56" i="7"/>
  <c r="C49" i="12"/>
  <c r="D49" i="12"/>
  <c r="E49" i="12"/>
  <c r="F49" i="12"/>
  <c r="G49" i="12"/>
  <c r="H49" i="12"/>
  <c r="I49" i="12"/>
  <c r="B23" i="3"/>
  <c r="B25" i="3"/>
  <c r="C25" i="3"/>
  <c r="D25" i="3"/>
  <c r="E25" i="3"/>
  <c r="F25" i="3"/>
  <c r="G25" i="3"/>
  <c r="H25" i="3"/>
  <c r="I25" i="3"/>
  <c r="J25" i="3"/>
  <c r="K25" i="3"/>
  <c r="L2" i="7"/>
  <c r="AE45" i="6"/>
  <c r="G69" i="6"/>
  <c r="AC19" i="6"/>
  <c r="V62" i="6"/>
  <c r="AE14" i="6"/>
  <c r="U54" i="6"/>
  <c r="AE56" i="6"/>
  <c r="Q55" i="6"/>
  <c r="N69" i="6"/>
  <c r="O16" i="6"/>
  <c r="O29" i="6"/>
  <c r="Q25" i="6"/>
  <c r="AJ8" i="6"/>
  <c r="AJ21" i="6"/>
  <c r="AN8" i="6"/>
  <c r="AN21" i="6"/>
  <c r="AR8" i="6"/>
  <c r="AR21" i="6"/>
  <c r="AH8" i="6"/>
  <c r="AH21" i="6"/>
  <c r="AM8" i="6"/>
  <c r="AM21" i="6"/>
  <c r="AG8" i="6"/>
  <c r="AI8" i="6"/>
  <c r="AI21" i="6"/>
  <c r="AO8" i="6"/>
  <c r="AK8" i="6"/>
  <c r="AK21" i="6"/>
  <c r="AL8" i="6"/>
  <c r="AL21" i="6"/>
  <c r="AP8" i="6"/>
  <c r="AP21" i="6"/>
  <c r="S19" i="6"/>
  <c r="S27" i="6"/>
  <c r="S29" i="6"/>
  <c r="AE12" i="6"/>
  <c r="AQ25" i="6"/>
  <c r="D17" i="12"/>
  <c r="D21" i="12"/>
  <c r="D20" i="12"/>
  <c r="D27" i="12"/>
  <c r="D72" i="12"/>
  <c r="E69" i="12"/>
  <c r="E72" i="12"/>
  <c r="C82" i="12"/>
  <c r="D82" i="12"/>
  <c r="E82" i="12"/>
  <c r="F82" i="12"/>
  <c r="G82" i="12"/>
  <c r="H82" i="12"/>
  <c r="I82" i="12"/>
  <c r="E37" i="13"/>
  <c r="H42" i="6"/>
  <c r="L42" i="6"/>
  <c r="J42" i="6"/>
  <c r="J48" i="6"/>
  <c r="J50" i="6"/>
  <c r="O42" i="6"/>
  <c r="S42" i="6"/>
  <c r="T42" i="6"/>
  <c r="U42" i="6"/>
  <c r="V42" i="6"/>
  <c r="W42" i="6"/>
  <c r="X42" i="6"/>
  <c r="Y42" i="6"/>
  <c r="Z42" i="6"/>
  <c r="AA42" i="6"/>
  <c r="AB42" i="6"/>
  <c r="AC42" i="6"/>
  <c r="AD42" i="6"/>
  <c r="AE42" i="6"/>
  <c r="M19" i="6"/>
  <c r="M27" i="6"/>
  <c r="Q24" i="6"/>
  <c r="Q71" i="9"/>
  <c r="C67" i="1"/>
  <c r="E57" i="3"/>
  <c r="F57" i="3"/>
  <c r="G57" i="3"/>
  <c r="C66" i="1"/>
  <c r="E40" i="13"/>
  <c r="E42" i="13"/>
  <c r="D23" i="3"/>
  <c r="M42" i="6"/>
  <c r="J7" i="6"/>
  <c r="N7" i="6"/>
  <c r="G7" i="6"/>
  <c r="K7" i="6"/>
  <c r="I7" i="6"/>
  <c r="C16" i="10"/>
  <c r="C18" i="10"/>
  <c r="C6" i="1"/>
  <c r="C14" i="1"/>
  <c r="Z10" i="6"/>
  <c r="L3" i="7"/>
  <c r="AP15" i="9"/>
  <c r="G42" i="12"/>
  <c r="E42" i="12"/>
  <c r="E27" i="12"/>
  <c r="D60" i="12"/>
  <c r="E54" i="12"/>
  <c r="T57" i="6"/>
  <c r="U57" i="6"/>
  <c r="V57" i="6"/>
  <c r="W57" i="6"/>
  <c r="X57" i="6"/>
  <c r="Y57" i="6"/>
  <c r="Z57" i="6"/>
  <c r="AA57" i="6"/>
  <c r="AB57" i="6"/>
  <c r="AC57" i="6"/>
  <c r="Q66" i="6"/>
  <c r="N42" i="6"/>
  <c r="N48" i="6"/>
  <c r="N50" i="6"/>
  <c r="O19" i="6"/>
  <c r="O27" i="6"/>
  <c r="L20" i="6"/>
  <c r="L16" i="6"/>
  <c r="Q8" i="6"/>
  <c r="Q75" i="9"/>
  <c r="Q62" i="6"/>
  <c r="Q69" i="6"/>
  <c r="L19" i="6"/>
  <c r="H7" i="6"/>
  <c r="AH4" i="6"/>
  <c r="AH7" i="6"/>
  <c r="AJ4" i="6"/>
  <c r="AJ7" i="6"/>
  <c r="AL4" i="6"/>
  <c r="AL7" i="6"/>
  <c r="AN4" i="6"/>
  <c r="AN7" i="6"/>
  <c r="AP4" i="6"/>
  <c r="AP7" i="6"/>
  <c r="AR4" i="6"/>
  <c r="AR7" i="6"/>
  <c r="C49" i="1"/>
  <c r="C38" i="1"/>
  <c r="E45" i="1"/>
  <c r="E49" i="1"/>
  <c r="E38" i="1"/>
  <c r="E40" i="1"/>
  <c r="E62" i="3"/>
  <c r="F62" i="3"/>
  <c r="G62" i="3"/>
  <c r="H62" i="3"/>
  <c r="I62" i="3"/>
  <c r="J62" i="3"/>
  <c r="K62" i="3"/>
  <c r="E72" i="1"/>
  <c r="E75" i="1"/>
  <c r="E77" i="1"/>
  <c r="Q17" i="9"/>
  <c r="E39" i="3"/>
  <c r="F39" i="3"/>
  <c r="G39" i="3"/>
  <c r="H39" i="3"/>
  <c r="I39" i="3"/>
  <c r="J39" i="3"/>
  <c r="K39" i="3"/>
  <c r="Y10" i="6"/>
  <c r="S59" i="6"/>
  <c r="L59" i="6"/>
  <c r="H59" i="6"/>
  <c r="Q54" i="6"/>
  <c r="Q59" i="6"/>
  <c r="Q45" i="6"/>
  <c r="K42" i="6"/>
  <c r="H21" i="6"/>
  <c r="Q21" i="6"/>
  <c r="AQ4" i="6"/>
  <c r="AQ7" i="6"/>
  <c r="AI4" i="6"/>
  <c r="AI7" i="6"/>
  <c r="C40" i="1"/>
  <c r="H42" i="12"/>
  <c r="Q33" i="9"/>
  <c r="C42" i="12"/>
  <c r="AD4" i="6"/>
  <c r="AD7" i="6"/>
  <c r="AB4" i="6"/>
  <c r="AB7" i="6"/>
  <c r="Z4" i="6"/>
  <c r="Z7" i="6"/>
  <c r="X4" i="6"/>
  <c r="X7" i="6"/>
  <c r="V4" i="6"/>
  <c r="Q35" i="9"/>
  <c r="F5" i="12"/>
  <c r="Q44" i="6"/>
  <c r="Q72" i="9"/>
  <c r="Q36" i="9"/>
  <c r="Q13" i="9"/>
  <c r="I7" i="9"/>
  <c r="K7" i="9"/>
  <c r="M7" i="9"/>
  <c r="O7" i="9"/>
  <c r="Q74" i="9"/>
  <c r="AE66" i="9"/>
  <c r="AE65" i="9"/>
  <c r="D7" i="9"/>
  <c r="E7" i="9"/>
  <c r="F7" i="9"/>
  <c r="Q30" i="9"/>
  <c r="J31" i="3"/>
  <c r="K50" i="3"/>
  <c r="AD47" i="6"/>
  <c r="AG47" i="6"/>
  <c r="AD44" i="6"/>
  <c r="AE44" i="6"/>
  <c r="AG44" i="6"/>
  <c r="G43" i="3"/>
  <c r="G32" i="3"/>
  <c r="G34" i="3"/>
  <c r="G45" i="3"/>
  <c r="H37" i="3"/>
  <c r="AD43" i="6"/>
  <c r="AG43" i="6"/>
  <c r="G46" i="6"/>
  <c r="I46" i="6"/>
  <c r="K46" i="6"/>
  <c r="M46" i="6"/>
  <c r="O46" i="6"/>
  <c r="S46" i="6"/>
  <c r="G41" i="6"/>
  <c r="I41" i="6"/>
  <c r="K41" i="6"/>
  <c r="M41" i="6"/>
  <c r="O41" i="6"/>
  <c r="F54" i="3"/>
  <c r="G50" i="3"/>
  <c r="G54" i="3"/>
  <c r="J57" i="3"/>
  <c r="I52" i="3"/>
  <c r="AG42" i="6"/>
  <c r="AE47" i="6"/>
  <c r="L46" i="6"/>
  <c r="H46" i="6"/>
  <c r="AE43" i="6"/>
  <c r="L41" i="6"/>
  <c r="H41" i="6"/>
  <c r="Q25" i="9"/>
  <c r="Q50" i="9"/>
  <c r="Q26" i="9"/>
  <c r="AE5" i="9"/>
  <c r="Q31" i="9"/>
  <c r="AE12" i="9"/>
  <c r="AE15" i="9"/>
  <c r="Q11" i="9"/>
  <c r="Q19" i="9"/>
  <c r="W19" i="6"/>
  <c r="W27" i="6"/>
  <c r="W29" i="6"/>
  <c r="C84" i="12"/>
  <c r="D84" i="12"/>
  <c r="E84" i="12"/>
  <c r="F84" i="12"/>
  <c r="G84" i="12"/>
  <c r="H84" i="12"/>
  <c r="I84" i="12"/>
  <c r="E54" i="1"/>
  <c r="F77" i="1"/>
  <c r="K42" i="9"/>
  <c r="AD16" i="6"/>
  <c r="AD20" i="6"/>
  <c r="AJ20" i="6"/>
  <c r="AD63" i="6"/>
  <c r="AG63" i="6"/>
  <c r="AD67" i="6"/>
  <c r="AE67" i="6"/>
  <c r="AG67" i="6"/>
  <c r="AH45" i="6"/>
  <c r="AI45" i="6"/>
  <c r="AJ45" i="6"/>
  <c r="AK45" i="6"/>
  <c r="AL45" i="6"/>
  <c r="AM45" i="6"/>
  <c r="AN45" i="6"/>
  <c r="AO45" i="6"/>
  <c r="AP45" i="6"/>
  <c r="AQ45" i="6"/>
  <c r="AR45" i="6"/>
  <c r="AH16" i="6"/>
  <c r="AH20" i="6"/>
  <c r="G20" i="6"/>
  <c r="G19" i="6"/>
  <c r="Q7" i="6"/>
  <c r="Q16" i="6"/>
  <c r="G16" i="6"/>
  <c r="E56" i="3"/>
  <c r="C75" i="1"/>
  <c r="C77" i="1"/>
  <c r="D77" i="1"/>
  <c r="M42" i="9"/>
  <c r="F22" i="12"/>
  <c r="G11" i="12"/>
  <c r="U69" i="6"/>
  <c r="AH65" i="6"/>
  <c r="AI65" i="6"/>
  <c r="AJ65" i="6"/>
  <c r="AK65" i="6"/>
  <c r="AL65" i="6"/>
  <c r="AM65" i="6"/>
  <c r="AN65" i="6"/>
  <c r="AO65" i="6"/>
  <c r="AP65" i="6"/>
  <c r="AQ65" i="6"/>
  <c r="AR65" i="6"/>
  <c r="N42" i="9"/>
  <c r="AE4" i="6"/>
  <c r="V7" i="6"/>
  <c r="AR20" i="6"/>
  <c r="F54" i="12"/>
  <c r="E60" i="12"/>
  <c r="K20" i="6"/>
  <c r="K19" i="6"/>
  <c r="K27" i="6"/>
  <c r="K16" i="6"/>
  <c r="K29" i="6"/>
  <c r="E44" i="13"/>
  <c r="AO21" i="6"/>
  <c r="U59" i="6"/>
  <c r="V54" i="6"/>
  <c r="H69" i="12"/>
  <c r="G72" i="12"/>
  <c r="AS25" i="6"/>
  <c r="AG66" i="6"/>
  <c r="AD66" i="6"/>
  <c r="AE66" i="6"/>
  <c r="X20" i="6"/>
  <c r="X16" i="6"/>
  <c r="AE10" i="6"/>
  <c r="Y16" i="6"/>
  <c r="AP20" i="6"/>
  <c r="AP16" i="6"/>
  <c r="T69" i="6"/>
  <c r="AK12" i="6"/>
  <c r="AK16" i="6"/>
  <c r="AK19" i="6"/>
  <c r="AO12" i="6"/>
  <c r="AO16" i="6"/>
  <c r="AG12" i="6"/>
  <c r="AJ12" i="6"/>
  <c r="AJ16" i="6"/>
  <c r="AJ19" i="6"/>
  <c r="AP12" i="6"/>
  <c r="AL12" i="6"/>
  <c r="AQ12" i="6"/>
  <c r="AM12" i="6"/>
  <c r="AM16" i="6"/>
  <c r="AM19" i="6"/>
  <c r="AM27" i="6"/>
  <c r="AM29" i="6"/>
  <c r="AH12" i="6"/>
  <c r="AN12" i="6"/>
  <c r="AR12" i="6"/>
  <c r="AR16" i="6"/>
  <c r="AI12" i="6"/>
  <c r="AS4" i="6"/>
  <c r="AK27" i="6"/>
  <c r="AK29" i="6"/>
  <c r="C14" i="5"/>
  <c r="C32" i="5"/>
  <c r="AE63" i="6"/>
  <c r="AG55" i="6"/>
  <c r="AD55" i="6"/>
  <c r="AE55" i="6"/>
  <c r="I42" i="9"/>
  <c r="I65" i="3"/>
  <c r="F10" i="12"/>
  <c r="G5" i="12"/>
  <c r="Z20" i="6"/>
  <c r="Z16" i="6"/>
  <c r="AI20" i="6"/>
  <c r="AS20" i="6"/>
  <c r="AI16" i="6"/>
  <c r="AN16" i="6"/>
  <c r="AN19" i="6"/>
  <c r="AN20" i="6"/>
  <c r="H16" i="6"/>
  <c r="H19" i="6"/>
  <c r="H27" i="6"/>
  <c r="H20" i="6"/>
  <c r="N19" i="6"/>
  <c r="N20" i="6"/>
  <c r="N16" i="6"/>
  <c r="Q42" i="6"/>
  <c r="D29" i="12"/>
  <c r="D30" i="12"/>
  <c r="AG21" i="6"/>
  <c r="AS21" i="6"/>
  <c r="AS8" i="6"/>
  <c r="V69" i="6"/>
  <c r="W62" i="6"/>
  <c r="V22" i="6"/>
  <c r="Q22" i="6"/>
  <c r="E29" i="12"/>
  <c r="E30" i="12"/>
  <c r="AG16" i="6"/>
  <c r="D34" i="4"/>
  <c r="C35" i="4"/>
  <c r="H65" i="3"/>
  <c r="H67" i="3"/>
  <c r="H68" i="3"/>
  <c r="AH56" i="6"/>
  <c r="AI56" i="6"/>
  <c r="AJ56" i="6"/>
  <c r="AK56" i="6"/>
  <c r="AL56" i="6"/>
  <c r="AM56" i="6"/>
  <c r="AN56" i="6"/>
  <c r="AO56" i="6"/>
  <c r="AP56" i="6"/>
  <c r="AQ56" i="6"/>
  <c r="AR56" i="6"/>
  <c r="E43" i="3"/>
  <c r="E32" i="3"/>
  <c r="E34" i="3"/>
  <c r="E45" i="3"/>
  <c r="AE7" i="9"/>
  <c r="AB20" i="6"/>
  <c r="AB16" i="6"/>
  <c r="AQ16" i="6"/>
  <c r="AQ20" i="6"/>
  <c r="AL16" i="6"/>
  <c r="AL20" i="6"/>
  <c r="L27" i="6"/>
  <c r="L29" i="6"/>
  <c r="AG57" i="6"/>
  <c r="AD57" i="6"/>
  <c r="AE57" i="6"/>
  <c r="I19" i="6"/>
  <c r="I27" i="6"/>
  <c r="I16" i="6"/>
  <c r="I20" i="6"/>
  <c r="J19" i="6"/>
  <c r="J20" i="6"/>
  <c r="J16" i="6"/>
  <c r="T59" i="6"/>
  <c r="AC27" i="6"/>
  <c r="AC29" i="6"/>
  <c r="AP13" i="9"/>
  <c r="AS7" i="6"/>
  <c r="Q78" i="9"/>
  <c r="AE11" i="9"/>
  <c r="AE74" i="9"/>
  <c r="AE73" i="9"/>
  <c r="AE75" i="9"/>
  <c r="C48" i="12"/>
  <c r="D48" i="12"/>
  <c r="E48" i="12"/>
  <c r="F48" i="12"/>
  <c r="AE72" i="9"/>
  <c r="Q53" i="9"/>
  <c r="L48" i="6"/>
  <c r="L50" i="6"/>
  <c r="I54" i="3"/>
  <c r="J52" i="3"/>
  <c r="S41" i="6"/>
  <c r="O50" i="6"/>
  <c r="O71" i="6"/>
  <c r="O48" i="6"/>
  <c r="S48" i="6"/>
  <c r="K48" i="6"/>
  <c r="K50" i="6"/>
  <c r="K71" i="6"/>
  <c r="Q41" i="6"/>
  <c r="G48" i="6"/>
  <c r="G50" i="6"/>
  <c r="AH43" i="6"/>
  <c r="AI43" i="6"/>
  <c r="AJ43" i="6"/>
  <c r="AK43" i="6"/>
  <c r="AL43" i="6"/>
  <c r="AM43" i="6"/>
  <c r="AN43" i="6"/>
  <c r="AO43" i="6"/>
  <c r="AP43" i="6"/>
  <c r="AQ43" i="6"/>
  <c r="AR43" i="6"/>
  <c r="AS43" i="6"/>
  <c r="K31" i="3"/>
  <c r="H48" i="6"/>
  <c r="H50" i="6"/>
  <c r="AH42" i="6"/>
  <c r="AI42" i="6"/>
  <c r="AJ42" i="6"/>
  <c r="AK42" i="6"/>
  <c r="AL42" i="6"/>
  <c r="AM42" i="6"/>
  <c r="AN42" i="6"/>
  <c r="AO42" i="6"/>
  <c r="AP42" i="6"/>
  <c r="AQ42" i="6"/>
  <c r="AR42" i="6"/>
  <c r="J65" i="3"/>
  <c r="K57" i="3"/>
  <c r="K65" i="3"/>
  <c r="M48" i="6"/>
  <c r="M50" i="6"/>
  <c r="M71" i="6"/>
  <c r="I48" i="6"/>
  <c r="I50" i="6"/>
  <c r="T46" i="6"/>
  <c r="U46" i="6"/>
  <c r="V46" i="6"/>
  <c r="W46" i="6"/>
  <c r="X46" i="6"/>
  <c r="Y46" i="6"/>
  <c r="Z46" i="6"/>
  <c r="AA46" i="6"/>
  <c r="AB46" i="6"/>
  <c r="AC46" i="6"/>
  <c r="I37" i="3"/>
  <c r="H43" i="3"/>
  <c r="H32" i="3"/>
  <c r="H34" i="3"/>
  <c r="H45" i="3"/>
  <c r="AH44" i="6"/>
  <c r="AI44" i="6"/>
  <c r="AJ44" i="6"/>
  <c r="AK44" i="6"/>
  <c r="AL44" i="6"/>
  <c r="AM44" i="6"/>
  <c r="AN44" i="6"/>
  <c r="AO44" i="6"/>
  <c r="AP44" i="6"/>
  <c r="AQ44" i="6"/>
  <c r="AR44" i="6"/>
  <c r="AH47" i="6"/>
  <c r="AI47" i="6"/>
  <c r="AJ47" i="6"/>
  <c r="AK47" i="6"/>
  <c r="AL47" i="6"/>
  <c r="AM47" i="6"/>
  <c r="AN47" i="6"/>
  <c r="AO47" i="6"/>
  <c r="AP47" i="6"/>
  <c r="AQ47" i="6"/>
  <c r="AR47" i="6"/>
  <c r="Q46" i="6"/>
  <c r="AE56" i="9"/>
  <c r="Q29" i="9"/>
  <c r="Q54" i="9"/>
  <c r="Q23" i="9"/>
  <c r="Q22" i="9"/>
  <c r="H42" i="9"/>
  <c r="Q34" i="9"/>
  <c r="Q39" i="9"/>
  <c r="AP17" i="9"/>
  <c r="AO19" i="6"/>
  <c r="AO27" i="6"/>
  <c r="AO29" i="6"/>
  <c r="AR19" i="6"/>
  <c r="AR27" i="6"/>
  <c r="AR29" i="6"/>
  <c r="L71" i="6"/>
  <c r="AG19" i="6"/>
  <c r="AS16" i="6"/>
  <c r="N29" i="6"/>
  <c r="N71" i="6"/>
  <c r="Z19" i="6"/>
  <c r="Z27" i="6"/>
  <c r="Z29" i="6"/>
  <c r="AH19" i="6"/>
  <c r="AH27" i="6"/>
  <c r="AH29" i="6"/>
  <c r="AB19" i="6"/>
  <c r="AB27" i="6"/>
  <c r="AB29" i="6"/>
  <c r="W69" i="6"/>
  <c r="X62" i="6"/>
  <c r="AP19" i="6"/>
  <c r="AP27" i="6"/>
  <c r="AP29" i="6"/>
  <c r="G54" i="12"/>
  <c r="F60" i="12"/>
  <c r="AH63" i="6"/>
  <c r="AI63" i="6"/>
  <c r="AJ63" i="6"/>
  <c r="AK63" i="6"/>
  <c r="AL63" i="6"/>
  <c r="AM63" i="6"/>
  <c r="AN63" i="6"/>
  <c r="AO63" i="6"/>
  <c r="AP63" i="6"/>
  <c r="AQ63" i="6"/>
  <c r="AR63" i="6"/>
  <c r="AS47" i="6"/>
  <c r="AH57" i="6"/>
  <c r="AI57" i="6"/>
  <c r="AJ57" i="6"/>
  <c r="AK57" i="6"/>
  <c r="AL57" i="6"/>
  <c r="AM57" i="6"/>
  <c r="AN57" i="6"/>
  <c r="AO57" i="6"/>
  <c r="AP57" i="6"/>
  <c r="AQ57" i="6"/>
  <c r="AR57" i="6"/>
  <c r="AS57" i="6"/>
  <c r="C54" i="1"/>
  <c r="N27" i="6"/>
  <c r="G10" i="12"/>
  <c r="H5" i="12"/>
  <c r="AH66" i="6"/>
  <c r="AI66" i="6"/>
  <c r="AJ66" i="6"/>
  <c r="AK66" i="6"/>
  <c r="AL66" i="6"/>
  <c r="AM66" i="6"/>
  <c r="AN66" i="6"/>
  <c r="AO66" i="6"/>
  <c r="AP66" i="6"/>
  <c r="AQ66" i="6"/>
  <c r="AR66" i="6"/>
  <c r="AS66" i="6"/>
  <c r="I69" i="12"/>
  <c r="I72" i="12"/>
  <c r="H72" i="12"/>
  <c r="Q68" i="9"/>
  <c r="AS45" i="6"/>
  <c r="AD19" i="6"/>
  <c r="AD27" i="6"/>
  <c r="AD29" i="6"/>
  <c r="O42" i="9"/>
  <c r="AQ19" i="6"/>
  <c r="AQ27" i="6"/>
  <c r="AQ29" i="6"/>
  <c r="AE22" i="6"/>
  <c r="AJ22" i="6"/>
  <c r="AS22" i="6"/>
  <c r="AI19" i="6"/>
  <c r="AI27" i="6"/>
  <c r="AI29" i="6"/>
  <c r="V59" i="6"/>
  <c r="W54" i="6"/>
  <c r="V20" i="6"/>
  <c r="AE20" i="6"/>
  <c r="AE7" i="6"/>
  <c r="G27" i="6"/>
  <c r="G29" i="6"/>
  <c r="Q19" i="6"/>
  <c r="H29" i="6"/>
  <c r="H71" i="6"/>
  <c r="J27" i="6"/>
  <c r="AL19" i="6"/>
  <c r="AL27" i="6"/>
  <c r="AL29" i="6"/>
  <c r="C33" i="5"/>
  <c r="D32" i="5"/>
  <c r="AS12" i="6"/>
  <c r="X19" i="6"/>
  <c r="X27" i="6"/>
  <c r="X29" i="6"/>
  <c r="F56" i="3"/>
  <c r="E65" i="3"/>
  <c r="E67" i="3"/>
  <c r="E68" i="3"/>
  <c r="Q20" i="6"/>
  <c r="AS42" i="6"/>
  <c r="I67" i="3"/>
  <c r="I68" i="3"/>
  <c r="J29" i="6"/>
  <c r="J71" i="6"/>
  <c r="I29" i="6"/>
  <c r="I71" i="6"/>
  <c r="AS56" i="6"/>
  <c r="Q27" i="6"/>
  <c r="AN27" i="6"/>
  <c r="AN29" i="6"/>
  <c r="F17" i="12"/>
  <c r="F20" i="12"/>
  <c r="F21" i="12"/>
  <c r="AH55" i="6"/>
  <c r="AI55" i="6"/>
  <c r="AJ55" i="6"/>
  <c r="AK55" i="6"/>
  <c r="AL55" i="6"/>
  <c r="AM55" i="6"/>
  <c r="AN55" i="6"/>
  <c r="AO55" i="6"/>
  <c r="AP55" i="6"/>
  <c r="AQ55" i="6"/>
  <c r="AR55" i="6"/>
  <c r="AS55" i="6"/>
  <c r="Y19" i="6"/>
  <c r="Y27" i="6"/>
  <c r="Y29" i="6"/>
  <c r="AS65" i="6"/>
  <c r="H11" i="12"/>
  <c r="G22" i="12"/>
  <c r="AH67" i="6"/>
  <c r="AI67" i="6"/>
  <c r="AJ67" i="6"/>
  <c r="AK67" i="6"/>
  <c r="AL67" i="6"/>
  <c r="AM67" i="6"/>
  <c r="AN67" i="6"/>
  <c r="AO67" i="6"/>
  <c r="AP67" i="6"/>
  <c r="AQ67" i="6"/>
  <c r="AR67" i="6"/>
  <c r="V16" i="6"/>
  <c r="AP66" i="9"/>
  <c r="AP74" i="9"/>
  <c r="AP75" i="9"/>
  <c r="AE64" i="9"/>
  <c r="AP11" i="9"/>
  <c r="AP72" i="9"/>
  <c r="AP73" i="9"/>
  <c r="AP65" i="9"/>
  <c r="B48" i="6"/>
  <c r="K52" i="3"/>
  <c r="K54" i="3"/>
  <c r="K67" i="3"/>
  <c r="K68" i="3"/>
  <c r="J54" i="3"/>
  <c r="J67" i="3"/>
  <c r="J68" i="3"/>
  <c r="J37" i="3"/>
  <c r="I43" i="3"/>
  <c r="I32" i="3"/>
  <c r="I34" i="3"/>
  <c r="I45" i="3"/>
  <c r="AD46" i="6"/>
  <c r="AE46" i="6"/>
  <c r="AG46" i="6"/>
  <c r="T48" i="6"/>
  <c r="U48" i="6"/>
  <c r="V48" i="6"/>
  <c r="W48" i="6"/>
  <c r="X48" i="6"/>
  <c r="Y48" i="6"/>
  <c r="Z48" i="6"/>
  <c r="AA48" i="6"/>
  <c r="AB48" i="6"/>
  <c r="AC48" i="6"/>
  <c r="S50" i="6"/>
  <c r="T41" i="6"/>
  <c r="AS44" i="6"/>
  <c r="Q48" i="6"/>
  <c r="Q50" i="6"/>
  <c r="Q57" i="9"/>
  <c r="Q60" i="9"/>
  <c r="AE55" i="9"/>
  <c r="AE54" i="9"/>
  <c r="G48" i="12"/>
  <c r="AE68" i="9"/>
  <c r="L42" i="9"/>
  <c r="J42" i="9"/>
  <c r="Q29" i="6"/>
  <c r="G71" i="6"/>
  <c r="G74" i="6"/>
  <c r="H74" i="6"/>
  <c r="I74" i="6"/>
  <c r="J74" i="6"/>
  <c r="K74" i="6"/>
  <c r="L74" i="6"/>
  <c r="M74" i="6"/>
  <c r="N74" i="6"/>
  <c r="O74" i="6"/>
  <c r="V19" i="6"/>
  <c r="AE16" i="6"/>
  <c r="G21" i="12"/>
  <c r="G17" i="12"/>
  <c r="G20" i="12"/>
  <c r="G27" i="12"/>
  <c r="X69" i="6"/>
  <c r="Y62" i="6"/>
  <c r="Q71" i="6"/>
  <c r="AS67" i="6"/>
  <c r="F27" i="12"/>
  <c r="F29" i="12"/>
  <c r="F30" i="12"/>
  <c r="AJ27" i="6"/>
  <c r="AJ29" i="6"/>
  <c r="H22" i="12"/>
  <c r="I11" i="12"/>
  <c r="I22" i="12"/>
  <c r="AS63" i="6"/>
  <c r="G56" i="3"/>
  <c r="G65" i="3"/>
  <c r="G67" i="3"/>
  <c r="G68" i="3"/>
  <c r="F65" i="3"/>
  <c r="F67" i="3"/>
  <c r="F68" i="3"/>
  <c r="X54" i="6"/>
  <c r="W59" i="6"/>
  <c r="H10" i="12"/>
  <c r="I5" i="12"/>
  <c r="I10" i="12"/>
  <c r="H54" i="12"/>
  <c r="G60" i="12"/>
  <c r="AG27" i="6"/>
  <c r="AG29" i="6"/>
  <c r="AS19" i="6"/>
  <c r="AS27" i="6"/>
  <c r="AS29" i="6"/>
  <c r="J76" i="6"/>
  <c r="K76" i="6"/>
  <c r="L76" i="6"/>
  <c r="M76" i="6"/>
  <c r="N76" i="6"/>
  <c r="O76" i="6"/>
  <c r="S71" i="6"/>
  <c r="AD48" i="6"/>
  <c r="AG48" i="6"/>
  <c r="J43" i="3"/>
  <c r="J32" i="3"/>
  <c r="J34" i="3"/>
  <c r="J45" i="3"/>
  <c r="K37" i="3"/>
  <c r="K43" i="3"/>
  <c r="K32" i="3"/>
  <c r="K34" i="3"/>
  <c r="K45" i="3"/>
  <c r="U41" i="6"/>
  <c r="T50" i="6"/>
  <c r="T71" i="6"/>
  <c r="AH46" i="6"/>
  <c r="AI46" i="6"/>
  <c r="AJ46" i="6"/>
  <c r="AK46" i="6"/>
  <c r="AL46" i="6"/>
  <c r="AM46" i="6"/>
  <c r="AN46" i="6"/>
  <c r="AO46" i="6"/>
  <c r="AP46" i="6"/>
  <c r="AQ46" i="6"/>
  <c r="AR46" i="6"/>
  <c r="AE48" i="6"/>
  <c r="H48" i="12"/>
  <c r="AE57" i="9"/>
  <c r="AP56" i="9"/>
  <c r="T42" i="9"/>
  <c r="G29" i="12"/>
  <c r="G30" i="12"/>
  <c r="H17" i="12"/>
  <c r="H20" i="12"/>
  <c r="H21" i="12"/>
  <c r="H27" i="12"/>
  <c r="H29" i="12"/>
  <c r="H30" i="12"/>
  <c r="V27" i="6"/>
  <c r="V29" i="6"/>
  <c r="AE19" i="6"/>
  <c r="AE27" i="6"/>
  <c r="AE29" i="6"/>
  <c r="G42" i="9"/>
  <c r="Q41" i="9"/>
  <c r="H60" i="12"/>
  <c r="I54" i="12"/>
  <c r="I60" i="12"/>
  <c r="X59" i="6"/>
  <c r="Y54" i="6"/>
  <c r="Y69" i="6"/>
  <c r="Z62" i="6"/>
  <c r="I21" i="12"/>
  <c r="I17" i="12"/>
  <c r="I20" i="12"/>
  <c r="I27" i="12"/>
  <c r="U50" i="6"/>
  <c r="U71" i="6"/>
  <c r="V41" i="6"/>
  <c r="AH48" i="6"/>
  <c r="AI48" i="6"/>
  <c r="AJ48" i="6"/>
  <c r="AK48" i="6"/>
  <c r="AL48" i="6"/>
  <c r="AM48" i="6"/>
  <c r="AN48" i="6"/>
  <c r="AO48" i="6"/>
  <c r="AP48" i="6"/>
  <c r="AQ48" i="6"/>
  <c r="AR48" i="6"/>
  <c r="AS48" i="6"/>
  <c r="S74" i="6"/>
  <c r="T74" i="6"/>
  <c r="AP55" i="9"/>
  <c r="AP54" i="9"/>
  <c r="AS46" i="6"/>
  <c r="S76" i="6"/>
  <c r="T76" i="6"/>
  <c r="I48" i="12"/>
  <c r="J87" i="9"/>
  <c r="K87" i="9"/>
  <c r="L87" i="9"/>
  <c r="M87" i="9"/>
  <c r="N87" i="9"/>
  <c r="O87" i="9"/>
  <c r="AA62" i="6"/>
  <c r="Z69" i="6"/>
  <c r="I29" i="12"/>
  <c r="I30" i="12"/>
  <c r="S42" i="9"/>
  <c r="Y59" i="6"/>
  <c r="Z54" i="6"/>
  <c r="Q42" i="9"/>
  <c r="Q82" i="9"/>
  <c r="B91" i="9"/>
  <c r="D47" i="12"/>
  <c r="C51" i="12"/>
  <c r="C62" i="12"/>
  <c r="C63" i="12"/>
  <c r="V50" i="6"/>
  <c r="W41" i="6"/>
  <c r="D77" i="12"/>
  <c r="U76" i="6"/>
  <c r="U74" i="6"/>
  <c r="AP57" i="9"/>
  <c r="V42" i="9"/>
  <c r="AA54" i="6"/>
  <c r="Z59" i="6"/>
  <c r="AA69" i="6"/>
  <c r="AB62" i="6"/>
  <c r="S87" i="9"/>
  <c r="T87" i="9"/>
  <c r="E47" i="12"/>
  <c r="D51" i="12"/>
  <c r="D62" i="12"/>
  <c r="D63" i="12"/>
  <c r="C86" i="12"/>
  <c r="V71" i="6"/>
  <c r="W50" i="6"/>
  <c r="W71" i="6"/>
  <c r="X41" i="6"/>
  <c r="D86" i="12"/>
  <c r="E77" i="12"/>
  <c r="W42" i="9"/>
  <c r="U42" i="9"/>
  <c r="U87" i="9"/>
  <c r="AA59" i="6"/>
  <c r="AB54" i="6"/>
  <c r="C88" i="12"/>
  <c r="AB69" i="6"/>
  <c r="AC62" i="6"/>
  <c r="X42" i="9"/>
  <c r="F47" i="12"/>
  <c r="E51" i="12"/>
  <c r="E62" i="12"/>
  <c r="E63" i="12"/>
  <c r="X50" i="6"/>
  <c r="X71" i="6"/>
  <c r="Y41" i="6"/>
  <c r="V76" i="6"/>
  <c r="W76" i="6"/>
  <c r="V74" i="6"/>
  <c r="W74" i="6"/>
  <c r="E86" i="12"/>
  <c r="F77" i="12"/>
  <c r="D88" i="12"/>
  <c r="X74" i="6"/>
  <c r="AB59" i="6"/>
  <c r="AC54" i="6"/>
  <c r="AC69" i="6"/>
  <c r="AG62" i="6"/>
  <c r="AD62" i="6"/>
  <c r="V87" i="9"/>
  <c r="G47" i="12"/>
  <c r="F51" i="12"/>
  <c r="F62" i="12"/>
  <c r="F63" i="12"/>
  <c r="Y50" i="6"/>
  <c r="Y71" i="6"/>
  <c r="Z41" i="6"/>
  <c r="X76" i="6"/>
  <c r="E88" i="12"/>
  <c r="F86" i="12"/>
  <c r="G77" i="12"/>
  <c r="W87" i="9"/>
  <c r="X87" i="9"/>
  <c r="Y42" i="9"/>
  <c r="AD69" i="6"/>
  <c r="AE69" i="6"/>
  <c r="AE62" i="6"/>
  <c r="AG54" i="6"/>
  <c r="AD54" i="6"/>
  <c r="AC59" i="6"/>
  <c r="AH62" i="6"/>
  <c r="AG69" i="6"/>
  <c r="Z42" i="9"/>
  <c r="H47" i="12"/>
  <c r="G51" i="12"/>
  <c r="G62" i="12"/>
  <c r="G63" i="12"/>
  <c r="Z50" i="6"/>
  <c r="Z71" i="6"/>
  <c r="AA41" i="6"/>
  <c r="Y76" i="6"/>
  <c r="Y74" i="6"/>
  <c r="G86" i="12"/>
  <c r="H77" i="12"/>
  <c r="F88" i="12"/>
  <c r="Y87" i="9"/>
  <c r="Z74" i="6"/>
  <c r="AH69" i="6"/>
  <c r="AI62" i="6"/>
  <c r="AD59" i="6"/>
  <c r="AE59" i="6"/>
  <c r="AE54" i="6"/>
  <c r="AG59" i="6"/>
  <c r="AH54" i="6"/>
  <c r="AA42" i="9"/>
  <c r="AP68" i="9"/>
  <c r="AP64" i="9"/>
  <c r="I47" i="12"/>
  <c r="I51" i="12"/>
  <c r="I62" i="12"/>
  <c r="I63" i="12"/>
  <c r="H51" i="12"/>
  <c r="H62" i="12"/>
  <c r="H63" i="12"/>
  <c r="AB41" i="6"/>
  <c r="AA50" i="6"/>
  <c r="AA71" i="6"/>
  <c r="AA74" i="6"/>
  <c r="Z76" i="6"/>
  <c r="AA76" i="6"/>
  <c r="H86" i="12"/>
  <c r="I77" i="12"/>
  <c r="I86" i="12"/>
  <c r="G88" i="12"/>
  <c r="Z87" i="9"/>
  <c r="AI54" i="6"/>
  <c r="AH59" i="6"/>
  <c r="AJ62" i="6"/>
  <c r="AI69" i="6"/>
  <c r="AB42" i="9"/>
  <c r="AE71" i="9"/>
  <c r="AB50" i="6"/>
  <c r="AB71" i="6"/>
  <c r="AB74" i="6"/>
  <c r="AC41" i="6"/>
  <c r="AB76" i="6"/>
  <c r="H88" i="12"/>
  <c r="I88" i="12"/>
  <c r="AA87" i="9"/>
  <c r="AI59" i="6"/>
  <c r="AJ54" i="6"/>
  <c r="AE78" i="9"/>
  <c r="AK62" i="6"/>
  <c r="AJ69" i="6"/>
  <c r="AC42" i="9"/>
  <c r="AD41" i="6"/>
  <c r="AG41" i="6"/>
  <c r="AC50" i="6"/>
  <c r="AC71" i="6"/>
  <c r="AC74" i="6"/>
  <c r="AB87" i="9"/>
  <c r="AJ59" i="6"/>
  <c r="AK54" i="6"/>
  <c r="AC76" i="6"/>
  <c r="AK69" i="6"/>
  <c r="AL62" i="6"/>
  <c r="AD50" i="6"/>
  <c r="AE41" i="6"/>
  <c r="AG50" i="6"/>
  <c r="AH41" i="6"/>
  <c r="AE53" i="9"/>
  <c r="AC87" i="9"/>
  <c r="AL69" i="6"/>
  <c r="AM62" i="6"/>
  <c r="AK59" i="6"/>
  <c r="AL54" i="6"/>
  <c r="AH42" i="9"/>
  <c r="AI41" i="6"/>
  <c r="AH50" i="6"/>
  <c r="AH71" i="6"/>
  <c r="AG71" i="6"/>
  <c r="AD71" i="6"/>
  <c r="AE50" i="6"/>
  <c r="AE60" i="9"/>
  <c r="AL59" i="6"/>
  <c r="AM54" i="6"/>
  <c r="AM69" i="6"/>
  <c r="AN62" i="6"/>
  <c r="AE71" i="6"/>
  <c r="AD74" i="6"/>
  <c r="AD76" i="6"/>
  <c r="AG76" i="6"/>
  <c r="AH76" i="6"/>
  <c r="AI50" i="6"/>
  <c r="AJ41" i="6"/>
  <c r="AG42" i="9"/>
  <c r="AN69" i="6"/>
  <c r="AO62" i="6"/>
  <c r="AM59" i="6"/>
  <c r="AN54" i="6"/>
  <c r="AE42" i="9"/>
  <c r="AJ50" i="6"/>
  <c r="AJ71" i="6"/>
  <c r="AK41" i="6"/>
  <c r="AE83" i="6"/>
  <c r="AI71" i="6"/>
  <c r="AI76" i="6"/>
  <c r="AJ76" i="6"/>
  <c r="AJ42" i="9"/>
  <c r="AO54" i="6"/>
  <c r="AN59" i="6"/>
  <c r="AP62" i="6"/>
  <c r="AO69" i="6"/>
  <c r="AD42" i="9"/>
  <c r="AK50" i="6"/>
  <c r="AK71" i="6"/>
  <c r="AL41" i="6"/>
  <c r="AK76" i="6"/>
  <c r="AK42" i="9"/>
  <c r="AI42" i="9"/>
  <c r="AP54" i="6"/>
  <c r="AO59" i="6"/>
  <c r="AD87" i="9"/>
  <c r="AG87" i="9"/>
  <c r="AH87" i="9"/>
  <c r="AE82" i="9"/>
  <c r="AQ62" i="6"/>
  <c r="AP69" i="6"/>
  <c r="AL42" i="9"/>
  <c r="AL50" i="6"/>
  <c r="AM41" i="6"/>
  <c r="AI87" i="9"/>
  <c r="AJ87" i="9"/>
  <c r="AP59" i="6"/>
  <c r="AQ54" i="6"/>
  <c r="B92" i="9"/>
  <c r="AE83" i="9"/>
  <c r="AQ69" i="6"/>
  <c r="AR62" i="6"/>
  <c r="AM42" i="9"/>
  <c r="AP71" i="9"/>
  <c r="AN41" i="6"/>
  <c r="AM50" i="6"/>
  <c r="AM71" i="6"/>
  <c r="AL71" i="6"/>
  <c r="AL76" i="6"/>
  <c r="AK87" i="9"/>
  <c r="AL87" i="9"/>
  <c r="AR69" i="6"/>
  <c r="AS69" i="6"/>
  <c r="AS62" i="6"/>
  <c r="AR54" i="6"/>
  <c r="AQ59" i="6"/>
  <c r="AM76" i="6"/>
  <c r="AN42" i="9"/>
  <c r="AN50" i="6"/>
  <c r="AO41" i="6"/>
  <c r="AM87" i="9"/>
  <c r="AR59" i="6"/>
  <c r="AS59" i="6"/>
  <c r="AS54" i="6"/>
  <c r="AP78" i="9"/>
  <c r="AN71" i="6"/>
  <c r="AN76" i="6"/>
  <c r="AO50" i="6"/>
  <c r="AO71" i="6"/>
  <c r="AP41" i="6"/>
  <c r="AP53" i="9"/>
  <c r="AN87" i="9"/>
  <c r="AQ41" i="6"/>
  <c r="AP50" i="6"/>
  <c r="AP71" i="6"/>
  <c r="AO76" i="6"/>
  <c r="AP60" i="9"/>
  <c r="AP76" i="6"/>
  <c r="AQ76" i="6"/>
  <c r="AQ50" i="6"/>
  <c r="AQ71" i="6"/>
  <c r="AR41" i="6"/>
  <c r="AP42" i="9"/>
  <c r="AR50" i="6"/>
  <c r="AS41" i="6"/>
  <c r="AO42" i="9"/>
  <c r="AR71" i="6"/>
  <c r="AS50" i="6"/>
  <c r="AP82" i="9"/>
  <c r="AO87" i="9"/>
  <c r="AS71" i="6"/>
  <c r="AS83" i="6"/>
  <c r="AR76" i="6"/>
  <c r="AP83" i="9"/>
  <c r="B93" i="9"/>
  <c r="B94" i="9"/>
</calcChain>
</file>

<file path=xl/sharedStrings.xml><?xml version="1.0" encoding="utf-8"?>
<sst xmlns="http://schemas.openxmlformats.org/spreadsheetml/2006/main" count="732" uniqueCount="471">
  <si>
    <t>Rent</t>
  </si>
  <si>
    <t>from Dec 2021</t>
  </si>
  <si>
    <t>Cost of sales</t>
  </si>
  <si>
    <t>Finance costs</t>
  </si>
  <si>
    <t>INVESTMENT</t>
  </si>
  <si>
    <t xml:space="preserve">Time </t>
  </si>
  <si>
    <t>Clean slate</t>
  </si>
  <si>
    <t>Leadership</t>
  </si>
  <si>
    <t>£75k x 3 yrs</t>
  </si>
  <si>
    <t>Team</t>
  </si>
  <si>
    <t>£100k x 3 yrs</t>
  </si>
  <si>
    <t>visitors</t>
  </si>
  <si>
    <t>spend/head</t>
  </si>
  <si>
    <t>Grant</t>
  </si>
  <si>
    <t>Comm shares</t>
  </si>
  <si>
    <t>FUNDING SOURCES</t>
  </si>
  <si>
    <t>interest only +5% withdrawals</t>
  </si>
  <si>
    <t>ANNUAL REVENUES</t>
  </si>
  <si>
    <t>ANNUAL EXPENDITURE</t>
  </si>
  <si>
    <t>refinance existing debt</t>
  </si>
  <si>
    <t>Utilities</t>
  </si>
  <si>
    <t>Working capital</t>
  </si>
  <si>
    <t>maintenance &amp; insurance - 3 yrs</t>
  </si>
  <si>
    <t>HPC Freeholder</t>
  </si>
  <si>
    <t>Income</t>
  </si>
  <si>
    <t>Expenditure</t>
  </si>
  <si>
    <t>Insurance</t>
  </si>
  <si>
    <t>Maintenance team</t>
  </si>
  <si>
    <t>Repairs to structure</t>
  </si>
  <si>
    <t>Rent from operator</t>
  </si>
  <si>
    <t>Fundraised annually</t>
  </si>
  <si>
    <t>Membership scheme</t>
  </si>
  <si>
    <t>psm</t>
  </si>
  <si>
    <t>inc sinking fund</t>
  </si>
  <si>
    <t>Commercial Operator</t>
  </si>
  <si>
    <t>Water, Electricity, Gas</t>
  </si>
  <si>
    <t>Hires &amp; private functions</t>
  </si>
  <si>
    <t>Special events programme</t>
  </si>
  <si>
    <t>Wages</t>
  </si>
  <si>
    <t>Team salaries</t>
  </si>
  <si>
    <t>CEO, FD, F&amp;B Mgr, Mkting, Ents</t>
  </si>
  <si>
    <t>START-UP PHASE (3 years)</t>
  </si>
  <si>
    <t>Cost of sales staff (inc for events)</t>
  </si>
  <si>
    <t>Ingredients, stock (for general spend)</t>
  </si>
  <si>
    <t>Running</t>
  </si>
  <si>
    <t>Private sponsorship, business offer, crowd-funding</t>
  </si>
  <si>
    <t>Existing comm shares</t>
  </si>
  <si>
    <t>write-down £750k over 3 yrs</t>
  </si>
  <si>
    <t>Co-ordinator/fundraiser</t>
  </si>
  <si>
    <t>above deck</t>
  </si>
  <si>
    <t>Cost of marketing</t>
  </si>
  <si>
    <t>Security, cleaning, waste, hires, maintenance</t>
  </si>
  <si>
    <t>ASSUMPTIONS</t>
  </si>
  <si>
    <t>If private, then operator to make lease payment of £600k which HPC would use to repay the loan</t>
  </si>
  <si>
    <t>If HPC subsidary then all profits transferred reducing fundraising requirement</t>
  </si>
  <si>
    <t>Marketing budget</t>
  </si>
  <si>
    <t>Y1</t>
  </si>
  <si>
    <t>Y2</t>
  </si>
  <si>
    <t>Y3</t>
  </si>
  <si>
    <t>Y4</t>
  </si>
  <si>
    <t>Y5</t>
  </si>
  <si>
    <t>to 31/3/22</t>
  </si>
  <si>
    <t>to 31/3/19</t>
  </si>
  <si>
    <t>to 31/3/20</t>
  </si>
  <si>
    <t>to 31/3/21</t>
  </si>
  <si>
    <t>Insurance &amp; maintenance</t>
  </si>
  <si>
    <t>Clean slate refinance existing debt</t>
  </si>
  <si>
    <t>START-UP COSTS</t>
  </si>
  <si>
    <t>New community shares</t>
  </si>
  <si>
    <t>Private sponsorship etc</t>
  </si>
  <si>
    <t>Total investment</t>
  </si>
  <si>
    <t>to 31/3/23</t>
  </si>
  <si>
    <t>Y6</t>
  </si>
  <si>
    <t>Y7</t>
  </si>
  <si>
    <t>Y9</t>
  </si>
  <si>
    <t>Y10</t>
  </si>
  <si>
    <t>to 31/3/24</t>
  </si>
  <si>
    <t>to 31/3/25</t>
  </si>
  <si>
    <t>to 31/3/26</t>
  </si>
  <si>
    <t>to 31/3/27</t>
  </si>
  <si>
    <t>INCOME</t>
  </si>
  <si>
    <t>EXPENDITURE</t>
  </si>
  <si>
    <t>Total start-up costs</t>
  </si>
  <si>
    <t>Cumulative balance</t>
  </si>
  <si>
    <t>General public revenues</t>
  </si>
  <si>
    <t>FINANCE COSTS (after Y3)</t>
  </si>
  <si>
    <t>Allowance for 2% pa share withdrawal</t>
  </si>
  <si>
    <t>EBITDA</t>
  </si>
  <si>
    <t>Interest only on loan</t>
  </si>
  <si>
    <t>to 31/3/28</t>
  </si>
  <si>
    <t>HPC FREEHOLDER</t>
  </si>
  <si>
    <t>Total HPC income</t>
  </si>
  <si>
    <t>Total HPC expenditure</t>
  </si>
  <si>
    <t>Surplus/deficit</t>
  </si>
  <si>
    <t>COMMERCIAL OPERATOR</t>
  </si>
  <si>
    <t>Finance costs (shares only)</t>
  </si>
  <si>
    <t>Lease premium</t>
  </si>
  <si>
    <t>Running costs</t>
  </si>
  <si>
    <t>interest only</t>
  </si>
  <si>
    <t>interest only (repaid from lease premium)</t>
  </si>
  <si>
    <t>hold as reserves for insurance excess purposes</t>
  </si>
  <si>
    <t>New building inc fees</t>
  </si>
  <si>
    <t>£4/head</t>
  </si>
  <si>
    <t>£2.83/head</t>
  </si>
  <si>
    <t>Wifi extension</t>
  </si>
  <si>
    <t>from Y4</t>
  </si>
  <si>
    <t>from Y7</t>
  </si>
  <si>
    <t>write down debt by 1/3</t>
  </si>
  <si>
    <t>Social investment loan</t>
  </si>
  <si>
    <t>Grant - HLF, P2C, CCF, CHART, Foreshore?</t>
  </si>
  <si>
    <t>interest only on loan (2 yrs)</t>
  </si>
  <si>
    <t>sundries budget loss over 3 yrs</t>
  </si>
  <si>
    <t>Y4-6</t>
  </si>
  <si>
    <t>Y7+</t>
  </si>
  <si>
    <t>Y8</t>
  </si>
  <si>
    <t>1,000 x £3.50 pm</t>
  </si>
  <si>
    <t>TRANSITION PLAN</t>
  </si>
  <si>
    <t>Peter Wheeler</t>
  </si>
  <si>
    <t>Engineering Assistant</t>
  </si>
  <si>
    <t>General Manager</t>
  </si>
  <si>
    <t>Finance Director</t>
  </si>
  <si>
    <t>FOHP Coordinator (1.5 days pw)</t>
  </si>
  <si>
    <t>Chief Engineer</t>
  </si>
  <si>
    <t>Francesca Hill</t>
  </si>
  <si>
    <t>recruit</t>
  </si>
  <si>
    <t>F&amp;B Manager</t>
  </si>
  <si>
    <t>Fish &amp; Chips</t>
  </si>
  <si>
    <t>Debbie Grant?</t>
  </si>
  <si>
    <t>Dan Crease?</t>
  </si>
  <si>
    <t>Paul Denne?</t>
  </si>
  <si>
    <t>pm</t>
  </si>
  <si>
    <t>Redundancies</t>
  </si>
  <si>
    <t>Event Production Manager</t>
  </si>
  <si>
    <t>1 month</t>
  </si>
  <si>
    <t>Head Chef</t>
  </si>
  <si>
    <t>2 months notice (currently on £57.5k)</t>
  </si>
  <si>
    <t>Events &amp; catering manager assistant</t>
  </si>
  <si>
    <t>1 week</t>
  </si>
  <si>
    <t>Volunteer manager</t>
  </si>
  <si>
    <t>Allow for current policy</t>
  </si>
  <si>
    <t>Maintenance costs</t>
  </si>
  <si>
    <t>In Years 1-3</t>
  </si>
  <si>
    <t>2 months notice, move to make your own salary then profit share?</t>
  </si>
  <si>
    <t>On-costs</t>
  </si>
  <si>
    <t>Currently on £30k, 1 month notice</t>
  </si>
  <si>
    <t>Cleaning &amp; security</t>
  </si>
  <si>
    <t>INCOME STREAMS DURING TRANSITION</t>
  </si>
  <si>
    <t>[to come]</t>
  </si>
  <si>
    <t>Marketing &amp; events assistant</t>
  </si>
  <si>
    <t>Ask FT to take on</t>
  </si>
  <si>
    <t>Creative Director</t>
  </si>
  <si>
    <t>Adam Wide</t>
  </si>
  <si>
    <t>volunteer</t>
  </si>
  <si>
    <t>trainee</t>
  </si>
  <si>
    <t>2 yrs losses</t>
  </si>
  <si>
    <t>Finance &amp; General Manager</t>
  </si>
  <si>
    <t>2 yrs costs</t>
  </si>
  <si>
    <t>F&amp;B Pavilion</t>
  </si>
  <si>
    <t>F&amp;B chips</t>
  </si>
  <si>
    <t>F&amp;B top deck</t>
  </si>
  <si>
    <t>F&amp;B pop-up (beer carts etc)</t>
  </si>
  <si>
    <t>wherever there's animation there's food &amp; drink</t>
  </si>
  <si>
    <t>mini-fair</t>
  </si>
  <si>
    <t>climbing wall</t>
  </si>
  <si>
    <t>Visitors</t>
  </si>
  <si>
    <t>Seasonality</t>
  </si>
  <si>
    <t>Total</t>
  </si>
  <si>
    <t>Trading income streams</t>
  </si>
  <si>
    <t>Mini-fairground</t>
  </si>
  <si>
    <t>Climbing wall</t>
  </si>
  <si>
    <t>Caves</t>
  </si>
  <si>
    <t>days</t>
  </si>
  <si>
    <t>per day</t>
  </si>
  <si>
    <t>cost</t>
  </si>
  <si>
    <t>charge</t>
  </si>
  <si>
    <t>per hr</t>
  </si>
  <si>
    <t>inc /day</t>
  </si>
  <si>
    <t>total</t>
  </si>
  <si>
    <t>Fishing licences</t>
  </si>
  <si>
    <t>Kiosk rentals</t>
  </si>
  <si>
    <t>none expected until Season 2</t>
  </si>
  <si>
    <t>surplus</t>
  </si>
  <si>
    <t>F&amp;B Pavilion, chips, top-deck, pop-up</t>
  </si>
  <si>
    <t>Direct expenditure</t>
  </si>
  <si>
    <t>Catering stock</t>
  </si>
  <si>
    <t>Cost of music events</t>
  </si>
  <si>
    <t>TOTAL TRADING INCOME</t>
  </si>
  <si>
    <t xml:space="preserve">TOTAL DIRECT EXPENDTIURE </t>
  </si>
  <si>
    <t>GROSS PROFIT/LOSS</t>
  </si>
  <si>
    <t>Ents Manager &amp; Animators</t>
  </si>
  <si>
    <t>1 x 25k, 2 x 19k</t>
  </si>
  <si>
    <t>Admin &amp; Marketing</t>
  </si>
  <si>
    <t>new recruit</t>
  </si>
  <si>
    <t>in place</t>
  </si>
  <si>
    <t>urgent but need recruiting</t>
  </si>
  <si>
    <t>Admin &amp; marketing</t>
  </si>
  <si>
    <t>to be recruited</t>
  </si>
  <si>
    <t>TOTAL STAFF COSTS</t>
  </si>
  <si>
    <t>Staff costs</t>
  </si>
  <si>
    <t>Overheads</t>
  </si>
  <si>
    <t>Stationery, Postage, Phones &amp; Printing</t>
  </si>
  <si>
    <t>Volunteer Expenses</t>
  </si>
  <si>
    <t>Accountancy, Legal &amp; Professional Fees</t>
  </si>
  <si>
    <t>Computers, Software &amp; Website</t>
  </si>
  <si>
    <t>Marketing, Publicity &amp; Promotions</t>
  </si>
  <si>
    <t>Training for staff &amp; volunteers</t>
  </si>
  <si>
    <t>Operational Costs</t>
  </si>
  <si>
    <t>Water, Electricity &amp; Gas</t>
  </si>
  <si>
    <t>Ops crew (steward, cleaning, security)</t>
  </si>
  <si>
    <t xml:space="preserve">TOTAL OVERHEADS </t>
  </si>
  <si>
    <t>TOTAL OPERATIONAL COSTS</t>
  </si>
  <si>
    <t>SURPLUS/DEFICIT</t>
  </si>
  <si>
    <t>Av F&amp;B spend/head</t>
  </si>
  <si>
    <t>Festivals, music events, cinema etc</t>
  </si>
  <si>
    <t>Temp building additional uses</t>
  </si>
  <si>
    <t>Business Rates &amp; BID levy</t>
  </si>
  <si>
    <t>Maintenance direct costs</t>
  </si>
  <si>
    <t>Club House/Pier as Platform</t>
  </si>
  <si>
    <t>Carola Van Dyke and/or Carnival Maker Space move in and pay rent (£75 psm pa)</t>
  </si>
  <si>
    <t>Landwards</t>
  </si>
  <si>
    <t>Seawards</t>
  </si>
  <si>
    <t>Animators base</t>
  </si>
  <si>
    <t>Engineering Assistants</t>
  </si>
  <si>
    <t>one in place, trainee to recruit</t>
  </si>
  <si>
    <t>of F&amp;B income</t>
  </si>
  <si>
    <t>of music event income</t>
  </si>
  <si>
    <t>Dependent on profits after 6 months</t>
  </si>
  <si>
    <t>YEAR ONE</t>
  </si>
  <si>
    <t>YEAR TWO</t>
  </si>
  <si>
    <t>On-costs (NIEC etc)</t>
  </si>
  <si>
    <t>Losses Y1&amp;2</t>
  </si>
  <si>
    <t>To add:</t>
  </si>
  <si>
    <t>Top Deck</t>
  </si>
  <si>
    <t>Pavilion</t>
  </si>
  <si>
    <t>T&amp;C, brownies, salads, soups, sandwiches</t>
  </si>
  <si>
    <t>free to Indycube</t>
  </si>
  <si>
    <t>Sea-end</t>
  </si>
  <si>
    <t>Yoga</t>
  </si>
  <si>
    <t>Pampering</t>
  </si>
  <si>
    <t>Romance exhibition</t>
  </si>
  <si>
    <t>Pics &amp; film for romance exhibition</t>
  </si>
  <si>
    <t>Attractions</t>
  </si>
  <si>
    <t>VAT treatment and profiling</t>
  </si>
  <si>
    <t>Funds available</t>
  </si>
  <si>
    <t>Crowdfunder donations</t>
  </si>
  <si>
    <t>FT loan</t>
  </si>
  <si>
    <t>Shop stock</t>
  </si>
  <si>
    <t>of shop income</t>
  </si>
  <si>
    <t>Shop income</t>
  </si>
  <si>
    <t>Catering staff</t>
  </si>
  <si>
    <t>Attractions staff</t>
  </si>
  <si>
    <t>inc 1 instructor</t>
  </si>
  <si>
    <t>staff cost</t>
  </si>
  <si>
    <t>wall</t>
  </si>
  <si>
    <t>caves</t>
  </si>
  <si>
    <t>Building repairs &amp; incidentals</t>
  </si>
  <si>
    <t>RISKS</t>
  </si>
  <si>
    <t>Club House</t>
  </si>
  <si>
    <t>Pier as Platform</t>
  </si>
  <si>
    <t>Attractions hire</t>
  </si>
  <si>
    <t>Climbing wall/caves</t>
  </si>
  <si>
    <t>TBC</t>
  </si>
  <si>
    <t>from Y2</t>
  </si>
  <si>
    <t>£11k fixed till end Nov</t>
  </si>
  <si>
    <t>Start-up costs</t>
  </si>
  <si>
    <t>Recruitment</t>
  </si>
  <si>
    <t>Publicity &amp; promotion</t>
  </si>
  <si>
    <t>Admin &amp; coordination</t>
  </si>
  <si>
    <t>Incorporation</t>
  </si>
  <si>
    <t>TOTAL START-UP COSTS</t>
  </si>
  <si>
    <t>YEAR THREE</t>
  </si>
  <si>
    <t>Losses Y1&amp;2&amp;3</t>
  </si>
  <si>
    <t>Power to Change grant</t>
  </si>
  <si>
    <t>Insurance - can it be passed to FT, with a £50k pa payment</t>
  </si>
  <si>
    <t>Other potential funders</t>
  </si>
  <si>
    <t>CHART (CLLD)</t>
  </si>
  <si>
    <t>Coastal Communities Fund R6</t>
  </si>
  <si>
    <t>Arts Council England</t>
  </si>
  <si>
    <t>New community share offer</t>
  </si>
  <si>
    <t>fairground</t>
  </si>
  <si>
    <t>hrs</t>
  </si>
  <si>
    <t>£ ph</t>
  </si>
  <si>
    <t>1 instructor free with wall</t>
  </si>
  <si>
    <t>linked</t>
  </si>
  <si>
    <t>Data capture set-up</t>
  </si>
  <si>
    <t>CAPITAL REQUIREMENT - ACHIEVING PHASE 2</t>
  </si>
  <si>
    <t>Construction costs</t>
  </si>
  <si>
    <t>Other capital works</t>
  </si>
  <si>
    <t>Professional fees</t>
  </si>
  <si>
    <t>Fit-out and equipment</t>
  </si>
  <si>
    <t>Design contingency</t>
  </si>
  <si>
    <t>Inflation at x% of capital</t>
  </si>
  <si>
    <t>Capital cost</t>
  </si>
  <si>
    <t>TOTAL CAPITAL COST</t>
  </si>
  <si>
    <t>Prelims &amp; prep</t>
  </si>
  <si>
    <t>Maintenance - will HLF pay for the abrasion guards (c£30k) in May/June 2018?</t>
  </si>
  <si>
    <t>Capital requirement</t>
  </si>
  <si>
    <t>all costs inc fees, contingency, inflation etc</t>
  </si>
  <si>
    <t>FOHP TRUST VIRTUAL FREEHOLDER</t>
  </si>
  <si>
    <t>AT STEADY STATE (from April 2021)</t>
  </si>
  <si>
    <t>Total FOHP Trust income</t>
  </si>
  <si>
    <t>F&amp;B spend</t>
  </si>
  <si>
    <t>Attractions &amp; events</t>
  </si>
  <si>
    <t>Insurance (above deck and PL)</t>
  </si>
  <si>
    <t>F&amp;B income</t>
  </si>
  <si>
    <t>Attractions/event costs</t>
  </si>
  <si>
    <t>Assistant F&amp;B</t>
  </si>
  <si>
    <t>Creative Director (consultancy)</t>
  </si>
  <si>
    <t>Ents Manager &amp; 3 Animators</t>
  </si>
  <si>
    <t>New share offer</t>
  </si>
  <si>
    <t>Admin, marketing &amp; PR</t>
  </si>
  <si>
    <t>FINANCIAL STRATEGY</t>
  </si>
  <si>
    <t>by 31/5/18</t>
  </si>
  <si>
    <t>Crowdfunder individual donations</t>
  </si>
  <si>
    <t>Short-term lender</t>
  </si>
  <si>
    <t>by 30/10/18</t>
  </si>
  <si>
    <t>by 31/5/20</t>
  </si>
  <si>
    <t>P2C share booster</t>
  </si>
  <si>
    <t>[P2C underwriting losses beyond BP]</t>
  </si>
  <si>
    <t>P2C capital grant</t>
  </si>
  <si>
    <t>PWLB</t>
  </si>
  <si>
    <t>Phase 2 capital</t>
  </si>
  <si>
    <t>Foreshore Trust no interest loan</t>
  </si>
  <si>
    <t>by 31/12/20</t>
  </si>
  <si>
    <t>Big Lottery Fund Reaching Communities</t>
  </si>
  <si>
    <t>Charitable trusts and foundations</t>
  </si>
  <si>
    <t>up to £250k</t>
  </si>
  <si>
    <t>Transition funding</t>
  </si>
  <si>
    <t>Phase 2 capital funding</t>
  </si>
  <si>
    <t>Revenue funding for relevant activities/facilities</t>
  </si>
  <si>
    <t>COST OF FINANCE</t>
  </si>
  <si>
    <t>HPC comm shares</t>
  </si>
  <si>
    <t>CHART CLLD capital grant</t>
  </si>
  <si>
    <t>interest</t>
  </si>
  <si>
    <t>repayment</t>
  </si>
  <si>
    <t>TOTAL ANNUAL COST OF FINANCE</t>
  </si>
  <si>
    <t>over 40 yrs</t>
  </si>
  <si>
    <t>Book-keeper</t>
  </si>
  <si>
    <t>Co-ordinator/fundraiser/liaison</t>
  </si>
  <si>
    <t>Redundant staff notice</t>
  </si>
  <si>
    <t>HR &amp; recruitment</t>
  </si>
  <si>
    <t>shares</t>
  </si>
  <si>
    <t>grant</t>
  </si>
  <si>
    <t>Foreshore Trust loan</t>
  </si>
  <si>
    <t>no interest</t>
  </si>
  <si>
    <t>40 yrs</t>
  </si>
  <si>
    <t>or treat as acquisition cost?</t>
  </si>
  <si>
    <t>Share interest</t>
  </si>
  <si>
    <t>Share withdrawal</t>
  </si>
  <si>
    <t>Foreshore Trust repayment</t>
  </si>
  <si>
    <t>PWLB interest/repayment</t>
  </si>
  <si>
    <t>Esmee Fairbairn grant</t>
  </si>
  <si>
    <t>HPC shareholder offer</t>
  </si>
  <si>
    <t>Up to total of 10% of your existing HPC shares</t>
  </si>
  <si>
    <t>Eg I own</t>
  </si>
  <si>
    <t>of HPC shares</t>
  </si>
  <si>
    <t>I buy</t>
  </si>
  <si>
    <t>of FOHP shares</t>
  </si>
  <si>
    <t>I am awarded an extra</t>
  </si>
  <si>
    <t>FOHP shares</t>
  </si>
  <si>
    <t>eg I own</t>
  </si>
  <si>
    <t>For every 100 shares you buy in FOHP Trust you get to convert 10 HPC shares</t>
  </si>
  <si>
    <t>Allowance for 1% pa share withdrawal</t>
  </si>
  <si>
    <t>pay interest in pier pounds?</t>
  </si>
  <si>
    <t>* Depends on charitable status and treatment by HBC</t>
  </si>
  <si>
    <t>Business Rates * &amp; BID levy</t>
  </si>
  <si>
    <t>FRIENDS OF HASTINGS PIER</t>
  </si>
  <si>
    <t>Transition phase</t>
  </si>
  <si>
    <t>Phase 2 steady</t>
  </si>
  <si>
    <t>Finance</t>
  </si>
  <si>
    <t>Ops team</t>
  </si>
  <si>
    <t>wks</t>
  </si>
  <si>
    <t>Cleaners</t>
  </si>
  <si>
    <t>hrs/wk</t>
  </si>
  <si>
    <t>£/hr</t>
  </si>
  <si>
    <t>Busy weeks</t>
  </si>
  <si>
    <t>Medium</t>
  </si>
  <si>
    <t>Quiet months</t>
  </si>
  <si>
    <t>Oct/Nov/Jan/Feb/Mar</t>
  </si>
  <si>
    <t>Jun/Jul/Aug</t>
  </si>
  <si>
    <t>Dec/Apr/May/Sept</t>
  </si>
  <si>
    <t>duty mgr/asst</t>
  </si>
  <si>
    <t>Security</t>
  </si>
  <si>
    <t>F&amp;B minimum team</t>
  </si>
  <si>
    <t>min for a month</t>
  </si>
  <si>
    <t>of F&amp;B income (minimum £7k pm)</t>
  </si>
  <si>
    <t>Closed</t>
  </si>
  <si>
    <t>Fully commercialised</t>
  </si>
  <si>
    <t>Above figures x 1.3</t>
  </si>
  <si>
    <t>fees/arrangement</t>
  </si>
  <si>
    <t>Year 1 Deficit</t>
  </si>
  <si>
    <t>BLACK BOX Visitor Numbers</t>
  </si>
  <si>
    <t>of BB income</t>
  </si>
  <si>
    <t>Year 2 Surplus</t>
  </si>
  <si>
    <t>Year 3 Surplus</t>
  </si>
  <si>
    <t>Total Surplus</t>
  </si>
  <si>
    <t>FoHP projected pier visitors</t>
  </si>
  <si>
    <t>BASIS OF ASSUMPTIONS</t>
  </si>
  <si>
    <t>FINANCIAL MODEL</t>
  </si>
  <si>
    <t>Av spend/head</t>
  </si>
  <si>
    <t>Updated from FOHP previous in line with LDP 2018 estimate</t>
  </si>
  <si>
    <t>Monthly %</t>
  </si>
  <si>
    <t>Existing F&amp;B</t>
  </si>
  <si>
    <t>Black Box</t>
  </si>
  <si>
    <t>BLACK BOX Av/spend per head</t>
  </si>
  <si>
    <t>Av spend/head in existing F&amp;B</t>
  </si>
  <si>
    <t>Rising with inflation</t>
  </si>
  <si>
    <t>Inflation</t>
  </si>
  <si>
    <t xml:space="preserve">Annual % </t>
  </si>
  <si>
    <t>See Row 1 Transition Phase</t>
  </si>
  <si>
    <t>Based on Centreplate actual trading figures (May 16-Jun 17), adjusted to account for unusual May 16 opening numbers</t>
  </si>
  <si>
    <t>BLACK BOX revenue</t>
  </si>
  <si>
    <t>Full-year revenues</t>
  </si>
  <si>
    <t>closed</t>
  </si>
  <si>
    <t>F&amp;B revenue (pavilion, chips, top-deck, pop-ups)</t>
  </si>
  <si>
    <t>BLACK BOX start-up costs (FOHP proportion)</t>
  </si>
  <si>
    <t>BLACK BOX Staff</t>
  </si>
  <si>
    <t>BLACK BOX Stock</t>
  </si>
  <si>
    <t>Shop staffed by volunteers</t>
  </si>
  <si>
    <t>invaluable!</t>
  </si>
  <si>
    <t xml:space="preserve">On-costs for core operational staff (NIEC etc) </t>
  </si>
  <si>
    <t>On-costs for core back-up staff (NIEC etc)</t>
  </si>
  <si>
    <t>£11kpm fixed to end Nov 18. We expect HBC/FT to take pier into their portfolio</t>
  </si>
  <si>
    <t>based on current trading history and commitment of shop volunteers to FOHP</t>
  </si>
  <si>
    <t>Climbing Wall/Caves</t>
  </si>
  <si>
    <t>Based on interest shown by celebs, promoters etc</t>
  </si>
  <si>
    <t>Shop cost of stock</t>
  </si>
  <si>
    <t>Made and staffed by our team at minimum cost</t>
  </si>
  <si>
    <t>Based on experience and commitment of Jericho Road, Meanwhile Space and Indycube - three leading lights in temp managed workspace</t>
  </si>
  <si>
    <t>£1k pm rents</t>
  </si>
  <si>
    <t>Ops Crew</t>
  </si>
  <si>
    <t>Based on detailed discussions with Ryan at www.climb-hire.co.uk</t>
  </si>
  <si>
    <t>Based on info from Paul Denne. See Notes page for rough seasonality workings</t>
  </si>
  <si>
    <t>POTENTIAL CONTRIBUTION FROM ABOVE DECK TO CORE</t>
  </si>
  <si>
    <t>Insurance &amp; Maintenance costs</t>
  </si>
  <si>
    <t>TOTAL CORE EXPENDITURE</t>
  </si>
  <si>
    <t>Summary</t>
  </si>
  <si>
    <t>underwrite cashflow with Foreshore Trust loan</t>
  </si>
  <si>
    <t>and/or Power to Change grant</t>
  </si>
  <si>
    <t>From Y4 we expect to invest £75k pa into maintenance, but have been advised that £35k pa is adequate for Y1-3</t>
  </si>
  <si>
    <t>Cumulative surplus/deficit in Transition phase to Dec 20</t>
  </si>
  <si>
    <t>Cumulative surplus/deficit Y1&amp;Y2</t>
  </si>
  <si>
    <t>cover losses in Transition</t>
  </si>
  <si>
    <t>loan via HBC</t>
  </si>
  <si>
    <t>Total FOHP Trust expenditure</t>
  </si>
  <si>
    <t>This sheet presents trading income and direct expenditure to identify the surplus available to contribute to core costs (which include fixed costs both above and below deck).</t>
  </si>
  <si>
    <t>Indicative capex costs to achieve Phase 2</t>
  </si>
  <si>
    <t>Notes on potential finance and its costs</t>
  </si>
  <si>
    <t>Notes</t>
  </si>
  <si>
    <t>Scratchpad for calculations</t>
  </si>
  <si>
    <t>NB. Jan-Mar Black Box closed</t>
  </si>
  <si>
    <t>Business rates &amp; BID levy</t>
  </si>
  <si>
    <t>Based on 90% relief due to charitable status</t>
  </si>
  <si>
    <t>Water, electricity, gas</t>
  </si>
  <si>
    <t>With the immediate addition of the Black Box, the Pier can stem losses to under £100k this financial year,</t>
  </si>
  <si>
    <t>and begin to make surplus from Y2 onwards</t>
  </si>
  <si>
    <t>The Crowdfunder will hit target before the deadline of 30/6/18</t>
  </si>
  <si>
    <t>£300k of CF will return to igloo</t>
  </si>
  <si>
    <t>£19k will go to CF in fees</t>
  </si>
  <si>
    <t>£181k will be the opening balance for FOHP Trust account</t>
  </si>
  <si>
    <t>£250k grant for working capital from Power to Change</t>
  </si>
  <si>
    <t>£300k long-term no-interest loan from Foreshore Trust</t>
  </si>
  <si>
    <t>These funds will underpin the business, throughout the Transition Phase (Y1-3)</t>
  </si>
  <si>
    <t xml:space="preserve">At worst the bank balance dips just below £80k in April 19 </t>
  </si>
  <si>
    <t>ANAYLSIS &amp; CONCLUSIONS</t>
  </si>
  <si>
    <t>Based on info from Paul Denne</t>
  </si>
  <si>
    <t>Approx £2M of capital funding will be required to implement Phase 2 - shares, grants, PWLB loan</t>
  </si>
  <si>
    <t>There may be a need for cashflow support/underpinning. Options include:</t>
  </si>
  <si>
    <t xml:space="preserve">Based on industry norms for street food 2.5-3 pints per customer. </t>
  </si>
  <si>
    <t>There are several ways to approach this in terms of split between operator and freeholder. The version shown here has the operator responsible for everything above deck and paying a rent to the freeholder, whereas a joint venture or commercial subsidiary may continue the approach shown in the Transition Phase.</t>
  </si>
  <si>
    <t>AbBuilding repairs &amp; incidentals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</si>
</sst>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£&quot;#,##0_);[Red]\(&quot;£&quot;#,##0\)"/>
    <numFmt numFmtId="164" formatCode="&quot;£&quot;#,##0.00;[Red]\-&quot;£&quot;#,##0.00"/>
    <numFmt numFmtId="165" formatCode="&quot;£&quot;#,##0"/>
    <numFmt numFmtId="166" formatCode="&quot;£&quot;#,##0.00"/>
    <numFmt numFmtId="167" formatCode="0.0%"/>
  </numFmts>
  <fonts count="22" x14ac:knownFonts="1"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  <font>
      <b/>
      <u/>
      <sz val="12"/>
      <color theme="1"/>
      <name val="Calibri"/>
      <family val="2"/>
    </font>
    <font>
      <sz val="12"/>
      <color rgb="FFFF0000"/>
      <name val="Calibri"/>
      <family val="2"/>
    </font>
    <font>
      <b/>
      <u/>
      <sz val="16"/>
      <color theme="1"/>
      <name val="Calibri"/>
      <family val="2"/>
    </font>
    <font>
      <sz val="8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u/>
      <sz val="12"/>
      <color theme="10"/>
      <name val="Calibri"/>
      <family val="2"/>
    </font>
    <font>
      <u/>
      <sz val="12"/>
      <color theme="11"/>
      <name val="Calibri"/>
      <family val="2"/>
    </font>
    <font>
      <b/>
      <sz val="12"/>
      <color theme="2" tint="-0.249977111117893"/>
      <name val="Calibri"/>
      <family val="2"/>
    </font>
    <font>
      <sz val="12"/>
      <color theme="2" tint="-0.249977111117893"/>
      <name val="Calibri"/>
      <family val="2"/>
    </font>
    <font>
      <b/>
      <i/>
      <sz val="12"/>
      <color theme="1"/>
      <name val="Calibri"/>
      <family val="2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name val="Calibri"/>
      <family val="2"/>
      <scheme val="minor"/>
    </font>
    <font>
      <u/>
      <sz val="12"/>
      <color theme="1"/>
      <name val="Calibri"/>
      <family val="2"/>
    </font>
    <font>
      <sz val="12"/>
      <color theme="8"/>
      <name val="Calibri"/>
      <family val="2"/>
    </font>
    <font>
      <sz val="12"/>
      <name val="Calibri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1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22">
    <xf numFmtId="0" fontId="0" fillId="0" borderId="0" xfId="0"/>
    <xf numFmtId="9" fontId="0" fillId="0" borderId="0" xfId="0" applyNumberFormat="1"/>
    <xf numFmtId="165" fontId="0" fillId="0" borderId="0" xfId="0" applyNumberFormat="1"/>
    <xf numFmtId="0" fontId="1" fillId="0" borderId="0" xfId="0" applyFont="1"/>
    <xf numFmtId="0" fontId="0" fillId="0" borderId="0" xfId="0" applyFont="1"/>
    <xf numFmtId="0" fontId="2" fillId="0" borderId="0" xfId="0" applyFont="1" applyAlignment="1">
      <alignment horizontal="right"/>
    </xf>
    <xf numFmtId="3" fontId="0" fillId="0" borderId="0" xfId="0" applyNumberFormat="1"/>
    <xf numFmtId="166" fontId="0" fillId="0" borderId="0" xfId="0" applyNumberFormat="1"/>
    <xf numFmtId="167" fontId="0" fillId="0" borderId="0" xfId="0" applyNumberFormat="1"/>
    <xf numFmtId="165" fontId="1" fillId="0" borderId="0" xfId="0" applyNumberFormat="1" applyFont="1"/>
    <xf numFmtId="0" fontId="3" fillId="0" borderId="0" xfId="0" applyFont="1"/>
    <xf numFmtId="165" fontId="0" fillId="0" borderId="0" xfId="0" applyNumberFormat="1" applyFont="1"/>
    <xf numFmtId="0" fontId="5" fillId="0" borderId="0" xfId="0" applyFont="1"/>
    <xf numFmtId="0" fontId="4" fillId="0" borderId="0" xfId="0" applyFont="1"/>
    <xf numFmtId="0" fontId="7" fillId="0" borderId="0" xfId="0" applyFont="1"/>
    <xf numFmtId="6" fontId="7" fillId="0" borderId="0" xfId="0" applyNumberFormat="1" applyFont="1"/>
    <xf numFmtId="9" fontId="8" fillId="0" borderId="0" xfId="0" applyNumberFormat="1" applyFont="1"/>
    <xf numFmtId="0" fontId="8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65" fontId="0" fillId="0" borderId="0" xfId="0" applyNumberFormat="1" applyAlignment="1">
      <alignment horizontal="right"/>
    </xf>
    <xf numFmtId="165" fontId="1" fillId="0" borderId="0" xfId="0" applyNumberFormat="1" applyFont="1" applyAlignment="1">
      <alignment horizontal="right"/>
    </xf>
    <xf numFmtId="165" fontId="2" fillId="0" borderId="0" xfId="0" applyNumberFormat="1" applyFont="1"/>
    <xf numFmtId="165" fontId="1" fillId="2" borderId="0" xfId="0" applyNumberFormat="1" applyFont="1" applyFill="1"/>
    <xf numFmtId="165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vertical="center"/>
    </xf>
    <xf numFmtId="0" fontId="11" fillId="0" borderId="0" xfId="0" applyFont="1"/>
    <xf numFmtId="0" fontId="12" fillId="0" borderId="0" xfId="0" applyFont="1"/>
    <xf numFmtId="165" fontId="12" fillId="0" borderId="0" xfId="0" applyNumberFormat="1" applyFont="1"/>
    <xf numFmtId="165" fontId="1" fillId="0" borderId="1" xfId="0" applyNumberFormat="1" applyFont="1" applyBorder="1"/>
    <xf numFmtId="0" fontId="0" fillId="2" borderId="0" xfId="0" applyFill="1"/>
    <xf numFmtId="165" fontId="13" fillId="0" borderId="0" xfId="0" applyNumberFormat="1" applyFont="1"/>
    <xf numFmtId="0" fontId="13" fillId="0" borderId="0" xfId="0" applyFont="1" applyAlignment="1">
      <alignment horizontal="right"/>
    </xf>
    <xf numFmtId="38" fontId="14" fillId="0" borderId="0" xfId="0" applyNumberFormat="1" applyFont="1" applyAlignment="1" applyProtection="1">
      <alignment vertical="center" wrapText="1"/>
      <protection locked="0"/>
    </xf>
    <xf numFmtId="38" fontId="15" fillId="0" borderId="0" xfId="0" applyNumberFormat="1" applyFont="1" applyAlignment="1" applyProtection="1">
      <alignment horizontal="left"/>
      <protection locked="0"/>
    </xf>
    <xf numFmtId="38" fontId="15" fillId="0" borderId="0" xfId="0" applyNumberFormat="1" applyFont="1" applyProtection="1">
      <protection locked="0"/>
    </xf>
    <xf numFmtId="167" fontId="15" fillId="0" borderId="0" xfId="0" applyNumberFormat="1" applyFont="1" applyProtection="1">
      <protection locked="0"/>
    </xf>
    <xf numFmtId="38" fontId="16" fillId="0" borderId="0" xfId="0" applyNumberFormat="1" applyFont="1" applyProtection="1">
      <protection locked="0"/>
    </xf>
    <xf numFmtId="9" fontId="17" fillId="0" borderId="0" xfId="0" applyNumberFormat="1" applyFont="1" applyProtection="1">
      <protection locked="0"/>
    </xf>
    <xf numFmtId="165" fontId="1" fillId="0" borderId="2" xfId="0" applyNumberFormat="1" applyFont="1" applyBorder="1"/>
    <xf numFmtId="38" fontId="16" fillId="0" borderId="0" xfId="0" applyNumberFormat="1" applyFont="1" applyFill="1" applyProtection="1">
      <protection locked="0"/>
    </xf>
    <xf numFmtId="38" fontId="14" fillId="0" borderId="0" xfId="0" applyNumberFormat="1" applyFont="1" applyFill="1" applyProtection="1">
      <protection locked="0"/>
    </xf>
    <xf numFmtId="6" fontId="1" fillId="0" borderId="0" xfId="0" applyNumberFormat="1" applyFont="1"/>
    <xf numFmtId="0" fontId="1" fillId="0" borderId="2" xfId="0" applyFont="1" applyBorder="1"/>
    <xf numFmtId="6" fontId="1" fillId="0" borderId="3" xfId="0" applyNumberFormat="1" applyFont="1" applyBorder="1"/>
    <xf numFmtId="17" fontId="0" fillId="0" borderId="0" xfId="0" applyNumberFormat="1"/>
    <xf numFmtId="3" fontId="2" fillId="0" borderId="0" xfId="0" applyNumberFormat="1" applyFont="1"/>
    <xf numFmtId="3" fontId="13" fillId="0" borderId="0" xfId="0" applyNumberFormat="1" applyFont="1"/>
    <xf numFmtId="166" fontId="2" fillId="0" borderId="0" xfId="0" applyNumberFormat="1" applyFont="1"/>
    <xf numFmtId="167" fontId="17" fillId="0" borderId="0" xfId="0" applyNumberFormat="1" applyFont="1" applyAlignment="1" applyProtection="1">
      <alignment horizontal="right"/>
      <protection locked="0"/>
    </xf>
    <xf numFmtId="6" fontId="0" fillId="0" borderId="0" xfId="0" applyNumberFormat="1"/>
    <xf numFmtId="0" fontId="0" fillId="0" borderId="0" xfId="0" applyAlignment="1">
      <alignment horizontal="center"/>
    </xf>
    <xf numFmtId="6" fontId="0" fillId="0" borderId="3" xfId="0" applyNumberFormat="1" applyFont="1" applyBorder="1"/>
    <xf numFmtId="6" fontId="0" fillId="0" borderId="0" xfId="0" applyNumberFormat="1" applyFont="1" applyBorder="1"/>
    <xf numFmtId="0" fontId="1" fillId="0" borderId="0" xfId="0" applyFont="1" applyAlignment="1">
      <alignment vertical="center"/>
    </xf>
    <xf numFmtId="17" fontId="1" fillId="0" borderId="0" xfId="0" applyNumberFormat="1" applyFont="1" applyAlignment="1">
      <alignment horizontal="right"/>
    </xf>
    <xf numFmtId="0" fontId="18" fillId="0" borderId="0" xfId="0" applyFont="1"/>
    <xf numFmtId="9" fontId="1" fillId="0" borderId="0" xfId="0" applyNumberFormat="1" applyFont="1"/>
    <xf numFmtId="165" fontId="1" fillId="0" borderId="3" xfId="0" applyNumberFormat="1" applyFont="1" applyBorder="1"/>
    <xf numFmtId="3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/>
    </xf>
    <xf numFmtId="0" fontId="0" fillId="0" borderId="2" xfId="0" applyBorder="1"/>
    <xf numFmtId="166" fontId="0" fillId="0" borderId="0" xfId="0" applyNumberFormat="1" applyFont="1"/>
    <xf numFmtId="0" fontId="1" fillId="0" borderId="4" xfId="0" applyFont="1" applyBorder="1"/>
    <xf numFmtId="167" fontId="0" fillId="0" borderId="0" xfId="0" applyNumberFormat="1" applyAlignment="1">
      <alignment horizontal="right"/>
    </xf>
    <xf numFmtId="0" fontId="0" fillId="0" borderId="0" xfId="0" applyAlignment="1">
      <alignment horizontal="left" indent="1"/>
    </xf>
    <xf numFmtId="0" fontId="1" fillId="0" borderId="8" xfId="0" applyFont="1" applyBorder="1" applyAlignment="1">
      <alignment horizontal="right"/>
    </xf>
    <xf numFmtId="9" fontId="17" fillId="0" borderId="8" xfId="0" applyNumberFormat="1" applyFont="1" applyBorder="1" applyProtection="1">
      <protection locked="0"/>
    </xf>
    <xf numFmtId="0" fontId="1" fillId="0" borderId="8" xfId="0" applyFont="1" applyBorder="1"/>
    <xf numFmtId="165" fontId="1" fillId="0" borderId="8" xfId="0" applyNumberFormat="1" applyFont="1" applyBorder="1"/>
    <xf numFmtId="9" fontId="1" fillId="0" borderId="8" xfId="0" applyNumberFormat="1" applyFont="1" applyBorder="1"/>
    <xf numFmtId="6" fontId="1" fillId="0" borderId="9" xfId="0" applyNumberFormat="1" applyFont="1" applyBorder="1"/>
    <xf numFmtId="6" fontId="0" fillId="0" borderId="8" xfId="0" applyNumberFormat="1" applyBorder="1"/>
    <xf numFmtId="6" fontId="1" fillId="0" borderId="8" xfId="0" applyNumberFormat="1" applyFont="1" applyBorder="1"/>
    <xf numFmtId="17" fontId="0" fillId="0" borderId="0" xfId="0" applyNumberFormat="1" applyAlignment="1">
      <alignment horizontal="right"/>
    </xf>
    <xf numFmtId="165" fontId="1" fillId="0" borderId="0" xfId="0" applyNumberFormat="1" applyFont="1" applyBorder="1"/>
    <xf numFmtId="0" fontId="19" fillId="0" borderId="0" xfId="0" applyFont="1"/>
    <xf numFmtId="165" fontId="19" fillId="0" borderId="0" xfId="0" applyNumberFormat="1" applyFont="1"/>
    <xf numFmtId="9" fontId="19" fillId="0" borderId="0" xfId="0" applyNumberFormat="1" applyFont="1"/>
    <xf numFmtId="3" fontId="1" fillId="0" borderId="0" xfId="0" applyNumberFormat="1" applyFont="1"/>
    <xf numFmtId="0" fontId="0" fillId="0" borderId="0" xfId="0" applyFill="1"/>
    <xf numFmtId="164" fontId="0" fillId="0" borderId="0" xfId="0" applyNumberFormat="1" applyFill="1"/>
    <xf numFmtId="0" fontId="1" fillId="0" borderId="0" xfId="0" applyFont="1" applyFill="1"/>
    <xf numFmtId="0" fontId="1" fillId="0" borderId="8" xfId="0" applyFont="1" applyFill="1" applyBorder="1"/>
    <xf numFmtId="3" fontId="0" fillId="0" borderId="0" xfId="0" applyNumberFormat="1" applyFont="1"/>
    <xf numFmtId="38" fontId="15" fillId="0" borderId="0" xfId="0" applyNumberFormat="1" applyFont="1" applyAlignment="1" applyProtection="1">
      <alignment horizontal="right"/>
      <protection locked="0"/>
    </xf>
    <xf numFmtId="0" fontId="0" fillId="0" borderId="0" xfId="0" applyFont="1" applyFill="1"/>
    <xf numFmtId="0" fontId="0" fillId="0" borderId="0" xfId="0" applyAlignment="1">
      <alignment wrapText="1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9" fontId="0" fillId="0" borderId="0" xfId="0" applyNumberFormat="1" applyAlignment="1">
      <alignment vertical="top"/>
    </xf>
    <xf numFmtId="164" fontId="0" fillId="0" borderId="0" xfId="0" applyNumberFormat="1" applyFont="1" applyFill="1"/>
    <xf numFmtId="165" fontId="0" fillId="0" borderId="0" xfId="0" applyNumberFormat="1" applyFont="1" applyFill="1"/>
    <xf numFmtId="165" fontId="1" fillId="0" borderId="0" xfId="0" applyNumberFormat="1" applyFont="1" applyFill="1"/>
    <xf numFmtId="165" fontId="0" fillId="0" borderId="0" xfId="0" applyNumberFormat="1" applyFont="1" applyAlignment="1">
      <alignment horizontal="right"/>
    </xf>
    <xf numFmtId="6" fontId="1" fillId="0" borderId="2" xfId="0" applyNumberFormat="1" applyFont="1" applyBorder="1"/>
    <xf numFmtId="0" fontId="0" fillId="0" borderId="0" xfId="0" applyAlignment="1">
      <alignment horizontal="center" wrapText="1"/>
    </xf>
    <xf numFmtId="166" fontId="0" fillId="0" borderId="0" xfId="0" applyNumberFormat="1" applyAlignment="1">
      <alignment vertical="top"/>
    </xf>
    <xf numFmtId="0" fontId="1" fillId="0" borderId="6" xfId="0" applyFont="1" applyBorder="1"/>
    <xf numFmtId="165" fontId="1" fillId="0" borderId="6" xfId="0" applyNumberFormat="1" applyFont="1" applyBorder="1"/>
    <xf numFmtId="165" fontId="1" fillId="0" borderId="10" xfId="0" applyNumberFormat="1" applyFont="1" applyBorder="1"/>
    <xf numFmtId="6" fontId="1" fillId="0" borderId="11" xfId="0" applyNumberFormat="1" applyFont="1" applyBorder="1"/>
    <xf numFmtId="165" fontId="0" fillId="0" borderId="6" xfId="0" applyNumberFormat="1" applyBorder="1"/>
    <xf numFmtId="0" fontId="0" fillId="0" borderId="6" xfId="0" applyBorder="1"/>
    <xf numFmtId="0" fontId="0" fillId="0" borderId="0" xfId="0" applyFill="1" applyAlignment="1">
      <alignment wrapText="1"/>
    </xf>
    <xf numFmtId="0" fontId="2" fillId="0" borderId="0" xfId="0" quotePrefix="1" applyFont="1"/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165" fontId="0" fillId="0" borderId="5" xfId="0" applyNumberFormat="1" applyFont="1" applyFill="1" applyBorder="1" applyAlignment="1">
      <alignment horizontal="center"/>
    </xf>
    <xf numFmtId="165" fontId="0" fillId="0" borderId="6" xfId="0" applyNumberFormat="1" applyFont="1" applyFill="1" applyBorder="1" applyAlignment="1">
      <alignment horizontal="center"/>
    </xf>
    <xf numFmtId="165" fontId="0" fillId="0" borderId="7" xfId="0" applyNumberFormat="1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0" fontId="0" fillId="0" borderId="0" xfId="0" applyAlignment="1">
      <alignment horizontal="center"/>
    </xf>
    <xf numFmtId="165" fontId="20" fillId="0" borderId="0" xfId="0" applyNumberFormat="1" applyFont="1"/>
    <xf numFmtId="165" fontId="21" fillId="0" borderId="0" xfId="0" applyNumberFormat="1" applyFont="1"/>
    <xf numFmtId="165" fontId="21" fillId="0" borderId="8" xfId="0" applyNumberFormat="1" applyFont="1" applyBorder="1"/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zoomScale="230" workbookViewId="0">
      <selection activeCell="F9" sqref="F9"/>
    </sheetView>
  </sheetViews>
  <sheetFormatPr baseColWidth="10" defaultColWidth="11" defaultRowHeight="16" x14ac:dyDescent="0.2"/>
  <cols>
    <col min="1" max="1" width="14.5" customWidth="1"/>
    <col min="2" max="2" width="17.33203125" bestFit="1" customWidth="1"/>
    <col min="3" max="3" width="52.1640625" style="89" customWidth="1"/>
    <col min="4" max="4" width="11" style="7"/>
    <col min="5" max="5" width="17.1640625" bestFit="1" customWidth="1"/>
  </cols>
  <sheetData>
    <row r="1" spans="1:7" x14ac:dyDescent="0.2">
      <c r="A1" s="3" t="s">
        <v>366</v>
      </c>
    </row>
    <row r="3" spans="1:7" x14ac:dyDescent="0.2">
      <c r="A3" s="3" t="s">
        <v>398</v>
      </c>
    </row>
    <row r="5" spans="1:7" ht="48" customHeight="1" x14ac:dyDescent="0.2">
      <c r="A5" s="91">
        <v>1</v>
      </c>
      <c r="B5" s="91" t="s">
        <v>367</v>
      </c>
      <c r="C5" s="110" t="s">
        <v>445</v>
      </c>
      <c r="D5" s="110"/>
    </row>
    <row r="6" spans="1:7" ht="22" customHeight="1" x14ac:dyDescent="0.2">
      <c r="A6" s="91">
        <v>2</v>
      </c>
      <c r="B6" s="91" t="s">
        <v>321</v>
      </c>
      <c r="C6" s="92" t="s">
        <v>446</v>
      </c>
    </row>
    <row r="7" spans="1:7" ht="84" customHeight="1" x14ac:dyDescent="0.2">
      <c r="A7" s="91">
        <v>3</v>
      </c>
      <c r="B7" s="91" t="s">
        <v>368</v>
      </c>
      <c r="C7" s="110" t="s">
        <v>469</v>
      </c>
      <c r="D7" s="110"/>
    </row>
    <row r="8" spans="1:7" ht="22" customHeight="1" x14ac:dyDescent="0.2">
      <c r="A8" s="91">
        <v>4</v>
      </c>
      <c r="B8" s="91" t="s">
        <v>369</v>
      </c>
      <c r="C8" s="92" t="s">
        <v>447</v>
      </c>
    </row>
    <row r="9" spans="1:7" x14ac:dyDescent="0.2">
      <c r="A9">
        <v>5</v>
      </c>
      <c r="B9" t="s">
        <v>448</v>
      </c>
      <c r="C9" s="92" t="s">
        <v>449</v>
      </c>
    </row>
    <row r="11" spans="1:7" x14ac:dyDescent="0.2">
      <c r="A11" s="3" t="s">
        <v>397</v>
      </c>
    </row>
    <row r="12" spans="1:7" ht="32" x14ac:dyDescent="0.2">
      <c r="A12" s="90" t="s">
        <v>165</v>
      </c>
      <c r="B12" s="91" t="s">
        <v>401</v>
      </c>
      <c r="C12" s="92" t="s">
        <v>410</v>
      </c>
      <c r="D12" s="91" t="s">
        <v>409</v>
      </c>
    </row>
    <row r="13" spans="1:7" x14ac:dyDescent="0.2">
      <c r="A13" s="90"/>
      <c r="B13" s="91"/>
      <c r="C13" s="92" t="s">
        <v>450</v>
      </c>
      <c r="D13" s="91"/>
    </row>
    <row r="14" spans="1:7" x14ac:dyDescent="0.2">
      <c r="A14" s="90" t="s">
        <v>407</v>
      </c>
      <c r="B14" s="91" t="s">
        <v>408</v>
      </c>
      <c r="C14" s="92"/>
      <c r="D14" s="93">
        <v>0.02</v>
      </c>
    </row>
    <row r="15" spans="1:7" x14ac:dyDescent="0.2">
      <c r="A15" s="90" t="s">
        <v>399</v>
      </c>
      <c r="B15" s="91" t="s">
        <v>402</v>
      </c>
      <c r="C15" s="92" t="s">
        <v>400</v>
      </c>
      <c r="D15" s="7">
        <v>2.8</v>
      </c>
      <c r="E15" t="s">
        <v>406</v>
      </c>
    </row>
    <row r="16" spans="1:7" ht="32" x14ac:dyDescent="0.2">
      <c r="A16" s="18" t="s">
        <v>399</v>
      </c>
      <c r="B16" t="s">
        <v>403</v>
      </c>
      <c r="C16" s="107" t="s">
        <v>468</v>
      </c>
      <c r="D16" s="7">
        <v>8.5</v>
      </c>
      <c r="E16" t="s">
        <v>406</v>
      </c>
      <c r="G16" s="7"/>
    </row>
    <row r="17" spans="1:5" x14ac:dyDescent="0.2">
      <c r="A17" s="18" t="s">
        <v>248</v>
      </c>
      <c r="C17" s="109" t="s">
        <v>423</v>
      </c>
      <c r="D17" s="2">
        <v>60000</v>
      </c>
    </row>
    <row r="18" spans="1:5" x14ac:dyDescent="0.2">
      <c r="A18" s="18" t="s">
        <v>426</v>
      </c>
      <c r="C18" s="109"/>
      <c r="D18" s="1">
        <v>0.4</v>
      </c>
      <c r="E18" s="1"/>
    </row>
    <row r="19" spans="1:5" x14ac:dyDescent="0.2">
      <c r="A19" s="90"/>
      <c r="C19" s="99"/>
      <c r="D19" s="1"/>
      <c r="E19" s="1"/>
    </row>
    <row r="20" spans="1:5" x14ac:dyDescent="0.2">
      <c r="A20" s="90" t="s">
        <v>168</v>
      </c>
      <c r="C20" s="89" t="s">
        <v>427</v>
      </c>
    </row>
    <row r="21" spans="1:5" ht="32" x14ac:dyDescent="0.2">
      <c r="A21" s="90" t="s">
        <v>424</v>
      </c>
      <c r="C21" s="89" t="s">
        <v>431</v>
      </c>
    </row>
    <row r="22" spans="1:5" x14ac:dyDescent="0.2">
      <c r="A22" s="90" t="s">
        <v>213</v>
      </c>
      <c r="C22" s="89" t="s">
        <v>425</v>
      </c>
    </row>
    <row r="23" spans="1:5" ht="48" x14ac:dyDescent="0.2">
      <c r="A23" s="90" t="s">
        <v>257</v>
      </c>
      <c r="C23" s="89" t="s">
        <v>428</v>
      </c>
      <c r="D23" s="100" t="s">
        <v>429</v>
      </c>
    </row>
    <row r="24" spans="1:5" ht="32" x14ac:dyDescent="0.2">
      <c r="A24" s="18" t="s">
        <v>430</v>
      </c>
      <c r="C24" s="89" t="s">
        <v>432</v>
      </c>
    </row>
    <row r="25" spans="1:5" ht="12" customHeight="1" x14ac:dyDescent="0.2">
      <c r="A25" s="18"/>
    </row>
    <row r="26" spans="1:5" x14ac:dyDescent="0.2">
      <c r="A26" s="18" t="s">
        <v>26</v>
      </c>
      <c r="C26" t="s">
        <v>422</v>
      </c>
    </row>
    <row r="27" spans="1:5" ht="32" x14ac:dyDescent="0.2">
      <c r="A27" s="18" t="s">
        <v>216</v>
      </c>
      <c r="C27" s="107" t="s">
        <v>439</v>
      </c>
    </row>
    <row r="28" spans="1:5" x14ac:dyDescent="0.2">
      <c r="A28" s="18" t="s">
        <v>451</v>
      </c>
      <c r="C28" s="107" t="s">
        <v>452</v>
      </c>
    </row>
    <row r="29" spans="1:5" x14ac:dyDescent="0.2">
      <c r="A29" s="18" t="s">
        <v>453</v>
      </c>
      <c r="C29" s="107" t="s">
        <v>465</v>
      </c>
    </row>
    <row r="31" spans="1:5" x14ac:dyDescent="0.2">
      <c r="A31" s="3" t="s">
        <v>464</v>
      </c>
    </row>
    <row r="32" spans="1:5" x14ac:dyDescent="0.2">
      <c r="A32" s="18" t="s">
        <v>454</v>
      </c>
    </row>
    <row r="33" spans="1:2" x14ac:dyDescent="0.2">
      <c r="A33" s="108" t="s">
        <v>455</v>
      </c>
    </row>
    <row r="34" spans="1:2" ht="5" customHeight="1" x14ac:dyDescent="0.2">
      <c r="A34" s="108"/>
    </row>
    <row r="35" spans="1:2" x14ac:dyDescent="0.2">
      <c r="A35" s="18" t="s">
        <v>456</v>
      </c>
    </row>
    <row r="36" spans="1:2" x14ac:dyDescent="0.2">
      <c r="B36" t="s">
        <v>457</v>
      </c>
    </row>
    <row r="37" spans="1:2" x14ac:dyDescent="0.2">
      <c r="B37" t="s">
        <v>458</v>
      </c>
    </row>
    <row r="38" spans="1:2" x14ac:dyDescent="0.2">
      <c r="B38" t="s">
        <v>459</v>
      </c>
    </row>
    <row r="39" spans="1:2" x14ac:dyDescent="0.2">
      <c r="A39" s="18" t="s">
        <v>462</v>
      </c>
    </row>
    <row r="40" spans="1:2" x14ac:dyDescent="0.2">
      <c r="A40" s="18" t="s">
        <v>463</v>
      </c>
    </row>
    <row r="41" spans="1:2" x14ac:dyDescent="0.2">
      <c r="A41" s="18" t="s">
        <v>467</v>
      </c>
    </row>
    <row r="42" spans="1:2" x14ac:dyDescent="0.2">
      <c r="B42" t="s">
        <v>461</v>
      </c>
    </row>
    <row r="43" spans="1:2" x14ac:dyDescent="0.2">
      <c r="B43" t="s">
        <v>460</v>
      </c>
    </row>
    <row r="44" spans="1:2" x14ac:dyDescent="0.2">
      <c r="A44" s="18" t="s">
        <v>466</v>
      </c>
    </row>
  </sheetData>
  <mergeCells count="3">
    <mergeCell ref="C17:C18"/>
    <mergeCell ref="C5:D5"/>
    <mergeCell ref="C7:D7"/>
  </mergeCells>
  <phoneticPr fontId="6" type="noConversion"/>
  <pageMargins left="0.7" right="0.7" top="0.75" bottom="0.75" header="0.3" footer="0.3"/>
  <pageSetup paperSize="9" orientation="landscape" horizontalDpi="0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zoomScale="250" workbookViewId="0">
      <selection activeCell="H52" sqref="H52"/>
    </sheetView>
  </sheetViews>
  <sheetFormatPr baseColWidth="10" defaultColWidth="11" defaultRowHeight="16" x14ac:dyDescent="0.2"/>
  <sheetData>
    <row r="1" spans="1:1" x14ac:dyDescent="0.3">
      <c r="A1" s="3" t="s">
        <v>256</v>
      </c>
    </row>
    <row r="3" spans="1:1" x14ac:dyDescent="0.2">
      <c r="A3" t="s">
        <v>273</v>
      </c>
    </row>
    <row r="4" spans="1:1" x14ac:dyDescent="0.2">
      <c r="A4" t="s">
        <v>295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7"/>
  <sheetViews>
    <sheetView zoomScale="185" workbookViewId="0">
      <pane xSplit="1" ySplit="1" topLeftCell="AD48" activePane="bottomRight" state="frozenSplit"/>
      <selection activeCell="H52" sqref="H52"/>
      <selection pane="topRight" activeCell="H52" sqref="H52"/>
      <selection pane="bottomLeft" activeCell="H52" sqref="H52"/>
      <selection pane="bottomRight" activeCell="H52" sqref="H52"/>
    </sheetView>
  </sheetViews>
  <sheetFormatPr baseColWidth="10" defaultColWidth="11" defaultRowHeight="16" x14ac:dyDescent="0.2"/>
  <cols>
    <col min="1" max="1" width="31.33203125" bestFit="1" customWidth="1"/>
    <col min="2" max="2" width="10.1640625" bestFit="1" customWidth="1"/>
    <col min="3" max="3" width="18.5" customWidth="1"/>
    <col min="4" max="5" width="7.6640625" bestFit="1" customWidth="1"/>
    <col min="6" max="6" width="9.1640625" bestFit="1" customWidth="1"/>
    <col min="7" max="7" width="9.33203125" bestFit="1" customWidth="1"/>
    <col min="8" max="8" width="9.1640625" bestFit="1" customWidth="1"/>
    <col min="9" max="11" width="9.33203125" bestFit="1" customWidth="1"/>
    <col min="12" max="12" width="10.33203125" bestFit="1" customWidth="1"/>
    <col min="13" max="15" width="10.33203125" customWidth="1"/>
    <col min="16" max="16" width="1.5" customWidth="1"/>
    <col min="17" max="17" width="12.33203125" style="3" customWidth="1"/>
    <col min="18" max="18" width="10" customWidth="1"/>
    <col min="19" max="19" width="9" bestFit="1" customWidth="1"/>
    <col min="20" max="20" width="9.33203125" bestFit="1" customWidth="1"/>
    <col min="21" max="21" width="9.83203125" bestFit="1" customWidth="1"/>
    <col min="22" max="22" width="10.1640625" bestFit="1" customWidth="1"/>
    <col min="23" max="24" width="9.33203125" bestFit="1" customWidth="1"/>
    <col min="25" max="26" width="9" bestFit="1" customWidth="1"/>
    <col min="27" max="29" width="9.83203125" bestFit="1" customWidth="1"/>
    <col min="30" max="30" width="11.1640625" bestFit="1" customWidth="1"/>
    <col min="31" max="31" width="10" style="3" bestFit="1" customWidth="1"/>
    <col min="32" max="32" width="11.1640625" bestFit="1" customWidth="1"/>
    <col min="33" max="33" width="9.83203125" bestFit="1" customWidth="1"/>
    <col min="34" max="34" width="9.33203125" bestFit="1" customWidth="1"/>
    <col min="35" max="35" width="9.83203125" bestFit="1" customWidth="1"/>
    <col min="36" max="36" width="10.1640625" bestFit="1" customWidth="1"/>
    <col min="37" max="38" width="9.33203125" bestFit="1" customWidth="1"/>
    <col min="39" max="43" width="9.83203125" bestFit="1" customWidth="1"/>
    <col min="44" max="44" width="11.1640625" bestFit="1" customWidth="1"/>
    <col min="45" max="45" width="10" style="3" bestFit="1" customWidth="1"/>
  </cols>
  <sheetData>
    <row r="1" spans="1:45" s="26" customFormat="1" x14ac:dyDescent="0.2">
      <c r="C1" s="19" t="s">
        <v>227</v>
      </c>
      <c r="D1" s="57">
        <v>43191</v>
      </c>
      <c r="E1" s="57">
        <v>43221</v>
      </c>
      <c r="F1" s="57">
        <v>43252</v>
      </c>
      <c r="G1" s="57">
        <v>43282</v>
      </c>
      <c r="H1" s="57">
        <v>43313</v>
      </c>
      <c r="I1" s="57">
        <v>43344</v>
      </c>
      <c r="J1" s="57">
        <v>43374</v>
      </c>
      <c r="K1" s="57">
        <v>43405</v>
      </c>
      <c r="L1" s="57">
        <v>43435</v>
      </c>
      <c r="M1" s="57">
        <v>43466</v>
      </c>
      <c r="N1" s="57">
        <v>43497</v>
      </c>
      <c r="O1" s="57">
        <v>43525</v>
      </c>
      <c r="Q1" s="19" t="s">
        <v>166</v>
      </c>
      <c r="R1" s="19" t="s">
        <v>228</v>
      </c>
      <c r="S1" s="57">
        <v>43556</v>
      </c>
      <c r="T1" s="57">
        <v>43586</v>
      </c>
      <c r="U1" s="57">
        <v>43617</v>
      </c>
      <c r="V1" s="57">
        <v>43647</v>
      </c>
      <c r="W1" s="57">
        <v>43678</v>
      </c>
      <c r="X1" s="57">
        <v>43709</v>
      </c>
      <c r="Y1" s="57">
        <v>43739</v>
      </c>
      <c r="Z1" s="57">
        <v>43770</v>
      </c>
      <c r="AA1" s="57">
        <v>43800</v>
      </c>
      <c r="AB1" s="57">
        <v>43831</v>
      </c>
      <c r="AC1" s="57">
        <v>43862</v>
      </c>
      <c r="AD1" s="57">
        <v>43891</v>
      </c>
      <c r="AE1" s="19" t="s">
        <v>166</v>
      </c>
      <c r="AF1" s="19" t="s">
        <v>270</v>
      </c>
      <c r="AG1" s="57">
        <v>43922</v>
      </c>
      <c r="AH1" s="57">
        <v>43952</v>
      </c>
      <c r="AI1" s="57">
        <v>43983</v>
      </c>
      <c r="AJ1" s="57">
        <v>44013</v>
      </c>
      <c r="AK1" s="57">
        <v>44044</v>
      </c>
      <c r="AL1" s="57">
        <v>44075</v>
      </c>
      <c r="AM1" s="57">
        <v>44105</v>
      </c>
      <c r="AN1" s="57">
        <v>44136</v>
      </c>
      <c r="AO1" s="57">
        <v>44166</v>
      </c>
      <c r="AP1" s="57">
        <v>44197</v>
      </c>
      <c r="AQ1" s="57">
        <v>44228</v>
      </c>
      <c r="AR1" s="57">
        <v>44256</v>
      </c>
      <c r="AS1" s="19" t="s">
        <v>166</v>
      </c>
    </row>
    <row r="2" spans="1:45" s="39" customFormat="1" x14ac:dyDescent="0.2">
      <c r="A2" s="36" t="s">
        <v>165</v>
      </c>
      <c r="B2" s="35"/>
      <c r="C2" s="51"/>
      <c r="D2" s="38">
        <v>0.06</v>
      </c>
      <c r="E2" s="38">
        <v>0.12</v>
      </c>
      <c r="F2" s="38">
        <v>0.12</v>
      </c>
      <c r="G2" s="38">
        <v>0.15</v>
      </c>
      <c r="H2" s="38">
        <v>0.18</v>
      </c>
      <c r="I2" s="38">
        <v>0.13</v>
      </c>
      <c r="J2" s="38">
        <v>0.06</v>
      </c>
      <c r="K2" s="38">
        <v>0.03</v>
      </c>
      <c r="L2" s="38">
        <v>0.05</v>
      </c>
      <c r="M2" s="38">
        <v>0.02</v>
      </c>
      <c r="N2" s="38">
        <v>0.03</v>
      </c>
      <c r="O2" s="38">
        <v>0.05</v>
      </c>
      <c r="P2" s="37"/>
      <c r="Q2" s="40">
        <f>SUM(C2:P2)</f>
        <v>1</v>
      </c>
      <c r="R2" s="51"/>
      <c r="S2" s="38">
        <v>0.06</v>
      </c>
      <c r="T2" s="38">
        <v>0.12</v>
      </c>
      <c r="U2" s="38">
        <v>0.12</v>
      </c>
      <c r="V2" s="38">
        <v>0.15</v>
      </c>
      <c r="W2" s="38">
        <v>0.18</v>
      </c>
      <c r="X2" s="38">
        <v>0.13</v>
      </c>
      <c r="Y2" s="38">
        <v>0.06</v>
      </c>
      <c r="Z2" s="38">
        <v>0.03</v>
      </c>
      <c r="AA2" s="38">
        <v>0.05</v>
      </c>
      <c r="AB2" s="38">
        <v>0.02</v>
      </c>
      <c r="AC2" s="38">
        <v>0.03</v>
      </c>
      <c r="AD2" s="38">
        <v>0.05</v>
      </c>
      <c r="AE2" s="40">
        <f>SUM(S2:AD2)</f>
        <v>1</v>
      </c>
      <c r="AF2" s="51"/>
      <c r="AG2" s="38">
        <v>0.06</v>
      </c>
      <c r="AH2" s="38">
        <v>0.12</v>
      </c>
      <c r="AI2" s="38">
        <v>0.12</v>
      </c>
      <c r="AJ2" s="38">
        <v>0.15</v>
      </c>
      <c r="AK2" s="38">
        <v>0.18</v>
      </c>
      <c r="AL2" s="38">
        <v>0.13</v>
      </c>
      <c r="AM2" s="38">
        <v>0.06</v>
      </c>
      <c r="AN2" s="38">
        <v>0.03</v>
      </c>
      <c r="AO2" s="38">
        <v>0.05</v>
      </c>
      <c r="AP2" s="38">
        <v>0.02</v>
      </c>
      <c r="AQ2" s="38">
        <v>0.03</v>
      </c>
      <c r="AR2" s="38">
        <v>0.05</v>
      </c>
      <c r="AS2" s="40">
        <f>SUM(AG2:AR2)</f>
        <v>1</v>
      </c>
    </row>
    <row r="3" spans="1:45" s="18" customFormat="1" x14ac:dyDescent="0.2">
      <c r="A3" s="18" t="s">
        <v>164</v>
      </c>
      <c r="C3" s="48"/>
      <c r="D3" s="48">
        <f t="shared" ref="D3:L3" si="0">$Q$3*D2</f>
        <v>12000</v>
      </c>
      <c r="E3" s="48">
        <f t="shared" si="0"/>
        <v>24000</v>
      </c>
      <c r="F3" s="48">
        <f t="shared" si="0"/>
        <v>24000</v>
      </c>
      <c r="G3" s="48">
        <f t="shared" si="0"/>
        <v>30000</v>
      </c>
      <c r="H3" s="48">
        <f t="shared" si="0"/>
        <v>36000</v>
      </c>
      <c r="I3" s="48">
        <f t="shared" si="0"/>
        <v>26000</v>
      </c>
      <c r="J3" s="48">
        <f t="shared" si="0"/>
        <v>12000</v>
      </c>
      <c r="K3" s="48">
        <f t="shared" si="0"/>
        <v>6000</v>
      </c>
      <c r="L3" s="48">
        <f t="shared" si="0"/>
        <v>10000</v>
      </c>
      <c r="M3" s="48">
        <f t="shared" ref="M3" si="1">$Q$3*M2</f>
        <v>4000</v>
      </c>
      <c r="N3" s="48">
        <f t="shared" ref="N3" si="2">$Q$3*N2</f>
        <v>6000</v>
      </c>
      <c r="O3" s="48">
        <f t="shared" ref="O3" si="3">$Q$3*O2</f>
        <v>10000</v>
      </c>
      <c r="P3" s="48"/>
      <c r="Q3" s="49">
        <v>200000</v>
      </c>
      <c r="S3" s="48">
        <f t="shared" ref="S3:AA3" si="4">$Q$3*S2</f>
        <v>12000</v>
      </c>
      <c r="T3" s="48">
        <f t="shared" si="4"/>
        <v>24000</v>
      </c>
      <c r="U3" s="48">
        <f t="shared" si="4"/>
        <v>24000</v>
      </c>
      <c r="V3" s="48">
        <f t="shared" si="4"/>
        <v>30000</v>
      </c>
      <c r="W3" s="48">
        <f t="shared" si="4"/>
        <v>36000</v>
      </c>
      <c r="X3" s="48">
        <f t="shared" si="4"/>
        <v>26000</v>
      </c>
      <c r="Y3" s="48">
        <f t="shared" si="4"/>
        <v>12000</v>
      </c>
      <c r="Z3" s="48">
        <f t="shared" si="4"/>
        <v>6000</v>
      </c>
      <c r="AA3" s="48">
        <f t="shared" si="4"/>
        <v>10000</v>
      </c>
      <c r="AB3" s="48">
        <f t="shared" ref="AB3" si="5">$Q$3*AB2</f>
        <v>4000</v>
      </c>
      <c r="AC3" s="48">
        <f t="shared" ref="AC3" si="6">$Q$3*AC2</f>
        <v>6000</v>
      </c>
      <c r="AD3" s="48">
        <f t="shared" ref="AD3" si="7">$Q$3*AD2</f>
        <v>10000</v>
      </c>
      <c r="AE3" s="49">
        <v>200000</v>
      </c>
      <c r="AG3" s="48">
        <f t="shared" ref="AG3:AR3" si="8">$Q$3*AG2</f>
        <v>12000</v>
      </c>
      <c r="AH3" s="48">
        <f t="shared" si="8"/>
        <v>24000</v>
      </c>
      <c r="AI3" s="48">
        <f t="shared" si="8"/>
        <v>24000</v>
      </c>
      <c r="AJ3" s="48">
        <f t="shared" si="8"/>
        <v>30000</v>
      </c>
      <c r="AK3" s="48">
        <f t="shared" si="8"/>
        <v>36000</v>
      </c>
      <c r="AL3" s="48">
        <f t="shared" si="8"/>
        <v>26000</v>
      </c>
      <c r="AM3" s="48">
        <f t="shared" si="8"/>
        <v>12000</v>
      </c>
      <c r="AN3" s="48">
        <f t="shared" si="8"/>
        <v>6000</v>
      </c>
      <c r="AO3" s="48">
        <f t="shared" si="8"/>
        <v>10000</v>
      </c>
      <c r="AP3" s="48">
        <f t="shared" si="8"/>
        <v>4000</v>
      </c>
      <c r="AQ3" s="48">
        <f t="shared" si="8"/>
        <v>6000</v>
      </c>
      <c r="AR3" s="48">
        <f t="shared" si="8"/>
        <v>10000</v>
      </c>
      <c r="AS3" s="49">
        <v>200000</v>
      </c>
    </row>
    <row r="4" spans="1:45" s="18" customFormat="1" x14ac:dyDescent="0.2">
      <c r="A4" s="18" t="s">
        <v>212</v>
      </c>
      <c r="B4" s="50">
        <v>2.83</v>
      </c>
      <c r="C4" s="23"/>
      <c r="D4" s="23">
        <f t="shared" ref="D4:L4" si="9">$B$4*D3</f>
        <v>33960</v>
      </c>
      <c r="E4" s="23">
        <f t="shared" si="9"/>
        <v>67920</v>
      </c>
      <c r="F4" s="23">
        <f t="shared" si="9"/>
        <v>67920</v>
      </c>
      <c r="G4" s="23">
        <f t="shared" si="9"/>
        <v>84900</v>
      </c>
      <c r="H4" s="23">
        <f t="shared" si="9"/>
        <v>101880</v>
      </c>
      <c r="I4" s="23">
        <f t="shared" si="9"/>
        <v>73580</v>
      </c>
      <c r="J4" s="23">
        <f t="shared" si="9"/>
        <v>33960</v>
      </c>
      <c r="K4" s="23">
        <f t="shared" si="9"/>
        <v>16980</v>
      </c>
      <c r="L4" s="23">
        <f t="shared" si="9"/>
        <v>28300</v>
      </c>
      <c r="M4" s="23">
        <f t="shared" ref="M4" si="10">$B$4*M3</f>
        <v>11320</v>
      </c>
      <c r="N4" s="23">
        <f t="shared" ref="N4" si="11">$B$4*N3</f>
        <v>16980</v>
      </c>
      <c r="O4" s="23">
        <f t="shared" ref="O4" si="12">$B$4*O3</f>
        <v>28300</v>
      </c>
      <c r="Q4" s="33">
        <f>Q3*B4</f>
        <v>566000</v>
      </c>
      <c r="R4" s="50">
        <f>B4*102%</f>
        <v>2.8866000000000001</v>
      </c>
      <c r="S4" s="23">
        <f>$R$4*S3</f>
        <v>34639.199999999997</v>
      </c>
      <c r="T4" s="23">
        <f t="shared" ref="T4:AD4" si="13">$R$4*T3</f>
        <v>69278.399999999994</v>
      </c>
      <c r="U4" s="23">
        <f t="shared" si="13"/>
        <v>69278.399999999994</v>
      </c>
      <c r="V4" s="23">
        <f t="shared" si="13"/>
        <v>86598</v>
      </c>
      <c r="W4" s="23">
        <f t="shared" si="13"/>
        <v>103917.6</v>
      </c>
      <c r="X4" s="23">
        <f t="shared" si="13"/>
        <v>75051.600000000006</v>
      </c>
      <c r="Y4" s="23">
        <f t="shared" si="13"/>
        <v>34639.199999999997</v>
      </c>
      <c r="Z4" s="23">
        <f t="shared" si="13"/>
        <v>17319.599999999999</v>
      </c>
      <c r="AA4" s="23">
        <f t="shared" si="13"/>
        <v>28866</v>
      </c>
      <c r="AB4" s="23">
        <f t="shared" si="13"/>
        <v>11546.4</v>
      </c>
      <c r="AC4" s="23">
        <f t="shared" si="13"/>
        <v>17319.599999999999</v>
      </c>
      <c r="AD4" s="23">
        <f t="shared" si="13"/>
        <v>28866</v>
      </c>
      <c r="AE4" s="33">
        <f>SUM(S4:AD4)</f>
        <v>577319.99999999988</v>
      </c>
      <c r="AF4" s="50">
        <f>R4*102%</f>
        <v>2.9443320000000002</v>
      </c>
      <c r="AG4" s="23">
        <f>$AF$4*AG3</f>
        <v>35331.984000000004</v>
      </c>
      <c r="AH4" s="23">
        <f t="shared" ref="AH4:AR4" si="14">$AF$4*AH3</f>
        <v>70663.968000000008</v>
      </c>
      <c r="AI4" s="23">
        <f t="shared" si="14"/>
        <v>70663.968000000008</v>
      </c>
      <c r="AJ4" s="23">
        <f t="shared" si="14"/>
        <v>88329.96</v>
      </c>
      <c r="AK4" s="23">
        <f t="shared" si="14"/>
        <v>105995.952</v>
      </c>
      <c r="AL4" s="23">
        <f t="shared" si="14"/>
        <v>76552.631999999998</v>
      </c>
      <c r="AM4" s="23">
        <f t="shared" si="14"/>
        <v>35331.984000000004</v>
      </c>
      <c r="AN4" s="23">
        <f t="shared" si="14"/>
        <v>17665.992000000002</v>
      </c>
      <c r="AO4" s="23">
        <f t="shared" si="14"/>
        <v>29443.320000000003</v>
      </c>
      <c r="AP4" s="23">
        <f t="shared" si="14"/>
        <v>11777.328000000001</v>
      </c>
      <c r="AQ4" s="23">
        <f t="shared" si="14"/>
        <v>17665.992000000002</v>
      </c>
      <c r="AR4" s="23">
        <f t="shared" si="14"/>
        <v>29443.320000000003</v>
      </c>
      <c r="AS4" s="33">
        <f>SUM(AG4:AR4)</f>
        <v>588866.39999999991</v>
      </c>
    </row>
    <row r="6" spans="1:45" x14ac:dyDescent="0.2">
      <c r="A6" s="3" t="s">
        <v>167</v>
      </c>
    </row>
    <row r="7" spans="1:45" x14ac:dyDescent="0.2">
      <c r="A7" t="s">
        <v>182</v>
      </c>
      <c r="C7" s="2"/>
      <c r="D7" s="2"/>
      <c r="E7" s="2"/>
      <c r="F7" s="2"/>
      <c r="G7" s="2">
        <f t="shared" ref="G7:L7" si="15">$Q4*G2</f>
        <v>84900</v>
      </c>
      <c r="H7" s="2">
        <f t="shared" si="15"/>
        <v>101880</v>
      </c>
      <c r="I7" s="2">
        <f t="shared" si="15"/>
        <v>73580</v>
      </c>
      <c r="J7" s="2">
        <f t="shared" si="15"/>
        <v>33960</v>
      </c>
      <c r="K7" s="2">
        <f t="shared" si="15"/>
        <v>16980</v>
      </c>
      <c r="L7" s="2">
        <f t="shared" si="15"/>
        <v>28300</v>
      </c>
      <c r="M7" s="2">
        <f t="shared" ref="M7:O7" si="16">$Q4*M2</f>
        <v>11320</v>
      </c>
      <c r="N7" s="2">
        <f t="shared" si="16"/>
        <v>16980</v>
      </c>
      <c r="O7" s="2">
        <f t="shared" si="16"/>
        <v>28300</v>
      </c>
      <c r="Q7" s="9">
        <f>SUM(C7:O7)</f>
        <v>396200</v>
      </c>
      <c r="R7" s="1"/>
      <c r="S7" s="2">
        <f>S4</f>
        <v>34639.199999999997</v>
      </c>
      <c r="T7" s="2">
        <f t="shared" ref="T7:W7" si="17">T4</f>
        <v>69278.399999999994</v>
      </c>
      <c r="U7" s="2">
        <f t="shared" si="17"/>
        <v>69278.399999999994</v>
      </c>
      <c r="V7" s="2">
        <f t="shared" si="17"/>
        <v>86598</v>
      </c>
      <c r="W7" s="2">
        <f t="shared" si="17"/>
        <v>103917.6</v>
      </c>
      <c r="X7" s="2">
        <f t="shared" ref="X7:AD7" si="18">X4</f>
        <v>75051.600000000006</v>
      </c>
      <c r="Y7" s="2">
        <f t="shared" si="18"/>
        <v>34639.199999999997</v>
      </c>
      <c r="Z7" s="2">
        <f t="shared" si="18"/>
        <v>17319.599999999999</v>
      </c>
      <c r="AA7" s="2">
        <f t="shared" si="18"/>
        <v>28866</v>
      </c>
      <c r="AB7" s="2">
        <f t="shared" si="18"/>
        <v>11546.4</v>
      </c>
      <c r="AC7" s="2">
        <f t="shared" si="18"/>
        <v>17319.599999999999</v>
      </c>
      <c r="AD7" s="2">
        <f t="shared" si="18"/>
        <v>28866</v>
      </c>
      <c r="AE7" s="9">
        <f>SUM(S7:AD7)</f>
        <v>577319.99999999988</v>
      </c>
      <c r="AG7" s="2">
        <f>AG4</f>
        <v>35331.984000000004</v>
      </c>
      <c r="AH7" s="2">
        <f t="shared" ref="AH7:AR7" si="19">AH4</f>
        <v>70663.968000000008</v>
      </c>
      <c r="AI7" s="2">
        <f t="shared" si="19"/>
        <v>70663.968000000008</v>
      </c>
      <c r="AJ7" s="2">
        <f t="shared" si="19"/>
        <v>88329.96</v>
      </c>
      <c r="AK7" s="2">
        <f t="shared" si="19"/>
        <v>105995.952</v>
      </c>
      <c r="AL7" s="2">
        <f t="shared" si="19"/>
        <v>76552.631999999998</v>
      </c>
      <c r="AM7" s="2">
        <f t="shared" si="19"/>
        <v>35331.984000000004</v>
      </c>
      <c r="AN7" s="2">
        <f t="shared" si="19"/>
        <v>17665.992000000002</v>
      </c>
      <c r="AO7" s="2">
        <f t="shared" si="19"/>
        <v>29443.320000000003</v>
      </c>
      <c r="AP7" s="2">
        <f t="shared" si="19"/>
        <v>11777.328000000001</v>
      </c>
      <c r="AQ7" s="2">
        <f t="shared" si="19"/>
        <v>17665.992000000002</v>
      </c>
      <c r="AR7" s="2">
        <f t="shared" si="19"/>
        <v>29443.320000000003</v>
      </c>
      <c r="AS7" s="9">
        <f>SUM(AG7:AR7)</f>
        <v>588866.39999999991</v>
      </c>
    </row>
    <row r="8" spans="1:45" x14ac:dyDescent="0.2">
      <c r="A8" t="s">
        <v>248</v>
      </c>
      <c r="B8" s="2">
        <v>60000</v>
      </c>
      <c r="C8" s="2"/>
      <c r="D8" s="2"/>
      <c r="E8" s="2"/>
      <c r="F8" s="2"/>
      <c r="G8" s="2">
        <f t="shared" ref="G8:O8" si="20">$B8*G2</f>
        <v>9000</v>
      </c>
      <c r="H8" s="2">
        <f t="shared" si="20"/>
        <v>10800</v>
      </c>
      <c r="I8" s="2">
        <f t="shared" si="20"/>
        <v>7800</v>
      </c>
      <c r="J8" s="2">
        <f t="shared" si="20"/>
        <v>3600</v>
      </c>
      <c r="K8" s="2">
        <f t="shared" si="20"/>
        <v>1800</v>
      </c>
      <c r="L8" s="2">
        <f t="shared" si="20"/>
        <v>3000</v>
      </c>
      <c r="M8" s="2">
        <f t="shared" si="20"/>
        <v>1200</v>
      </c>
      <c r="N8" s="2">
        <f t="shared" si="20"/>
        <v>1800</v>
      </c>
      <c r="O8" s="2">
        <f t="shared" si="20"/>
        <v>3000</v>
      </c>
      <c r="Q8" s="9">
        <f t="shared" ref="Q8:Q14" si="21">SUM(C8:O8)</f>
        <v>42000</v>
      </c>
      <c r="R8" s="1">
        <v>1.02</v>
      </c>
      <c r="S8" s="2">
        <f>$B8*S2*$R8</f>
        <v>3672</v>
      </c>
      <c r="T8" s="2">
        <f t="shared" ref="T8:AD8" si="22">$B8*T2*$R8</f>
        <v>7344</v>
      </c>
      <c r="U8" s="2">
        <f t="shared" si="22"/>
        <v>7344</v>
      </c>
      <c r="V8" s="2">
        <f t="shared" si="22"/>
        <v>9180</v>
      </c>
      <c r="W8" s="2">
        <f t="shared" si="22"/>
        <v>11016</v>
      </c>
      <c r="X8" s="2">
        <f t="shared" si="22"/>
        <v>7956</v>
      </c>
      <c r="Y8" s="2">
        <f t="shared" si="22"/>
        <v>3672</v>
      </c>
      <c r="Z8" s="2">
        <f t="shared" si="22"/>
        <v>1836</v>
      </c>
      <c r="AA8" s="2">
        <f t="shared" si="22"/>
        <v>3060</v>
      </c>
      <c r="AB8" s="2">
        <f t="shared" si="22"/>
        <v>1224</v>
      </c>
      <c r="AC8" s="2">
        <f t="shared" si="22"/>
        <v>1836</v>
      </c>
      <c r="AD8" s="2">
        <f t="shared" si="22"/>
        <v>3060</v>
      </c>
      <c r="AE8" s="9">
        <f>SUM(S8:AD8)</f>
        <v>61200</v>
      </c>
      <c r="AF8" s="1">
        <v>1.02</v>
      </c>
      <c r="AG8" s="2">
        <f>$AE8*AG2*$R8</f>
        <v>3745.44</v>
      </c>
      <c r="AH8" s="2">
        <f t="shared" ref="AH8:AR8" si="23">$AE8*AH2*$R8</f>
        <v>7490.88</v>
      </c>
      <c r="AI8" s="2">
        <f t="shared" si="23"/>
        <v>7490.88</v>
      </c>
      <c r="AJ8" s="2">
        <f t="shared" si="23"/>
        <v>9363.6</v>
      </c>
      <c r="AK8" s="2">
        <f t="shared" si="23"/>
        <v>11236.32</v>
      </c>
      <c r="AL8" s="2">
        <f t="shared" si="23"/>
        <v>8115.12</v>
      </c>
      <c r="AM8" s="2">
        <f t="shared" si="23"/>
        <v>3745.44</v>
      </c>
      <c r="AN8" s="2">
        <f t="shared" si="23"/>
        <v>1872.72</v>
      </c>
      <c r="AO8" s="2">
        <f t="shared" si="23"/>
        <v>3121.2000000000003</v>
      </c>
      <c r="AP8" s="2">
        <f t="shared" si="23"/>
        <v>1248.48</v>
      </c>
      <c r="AQ8" s="2">
        <f t="shared" si="23"/>
        <v>1872.72</v>
      </c>
      <c r="AR8" s="2">
        <f t="shared" si="23"/>
        <v>3121.2000000000003</v>
      </c>
      <c r="AS8" s="9">
        <f>SUM(AG8:AR8)</f>
        <v>62424.000000000007</v>
      </c>
    </row>
    <row r="9" spans="1:45" x14ac:dyDescent="0.2">
      <c r="A9" t="s">
        <v>168</v>
      </c>
      <c r="B9" s="2">
        <v>40000</v>
      </c>
      <c r="G9" s="2"/>
      <c r="H9" s="2">
        <v>35000</v>
      </c>
      <c r="I9" s="2">
        <v>5000</v>
      </c>
      <c r="J9" s="2"/>
      <c r="K9" s="2"/>
      <c r="Q9" s="9">
        <f t="shared" si="21"/>
        <v>40000</v>
      </c>
      <c r="V9" s="2"/>
      <c r="W9" s="2">
        <v>35000</v>
      </c>
      <c r="X9" s="2">
        <v>5000</v>
      </c>
      <c r="Y9" s="2"/>
      <c r="Z9" s="2"/>
      <c r="AE9" s="9">
        <f t="shared" ref="AE9:AE14" si="24">SUM(S9:AD9)</f>
        <v>40000</v>
      </c>
      <c r="AJ9" s="2"/>
      <c r="AK9" s="2">
        <v>35000</v>
      </c>
      <c r="AL9" s="2">
        <v>5000</v>
      </c>
      <c r="AM9" s="2"/>
      <c r="AN9" s="2"/>
      <c r="AS9" s="9">
        <f t="shared" ref="AS9:AS14" si="25">SUM(AG9:AR9)</f>
        <v>40000</v>
      </c>
    </row>
    <row r="10" spans="1:45" x14ac:dyDescent="0.2">
      <c r="A10" t="s">
        <v>260</v>
      </c>
      <c r="B10" s="2"/>
      <c r="G10" s="2">
        <f>Notes!$K2/2</f>
        <v>33600</v>
      </c>
      <c r="H10" s="2">
        <f>Notes!$K2/2</f>
        <v>33600</v>
      </c>
      <c r="I10" s="2"/>
      <c r="J10" s="2">
        <f>Notes!$K3/2</f>
        <v>20160</v>
      </c>
      <c r="K10" s="2">
        <f>Notes!$K3/2</f>
        <v>20160</v>
      </c>
      <c r="Q10" s="9">
        <f t="shared" si="21"/>
        <v>107520</v>
      </c>
      <c r="V10" s="2">
        <f>Notes!$K2/2</f>
        <v>33600</v>
      </c>
      <c r="W10" s="2">
        <f>Notes!$K2/2</f>
        <v>33600</v>
      </c>
      <c r="X10" s="2"/>
      <c r="Y10" s="2">
        <f>Notes!$K3/2</f>
        <v>20160</v>
      </c>
      <c r="Z10" s="2">
        <f>Notes!$K3/2</f>
        <v>20160</v>
      </c>
      <c r="AE10" s="9">
        <f t="shared" si="24"/>
        <v>107520</v>
      </c>
      <c r="AJ10" s="2">
        <f>Notes!$K2/2</f>
        <v>33600</v>
      </c>
      <c r="AK10" s="2">
        <f>Notes!$K2/2</f>
        <v>33600</v>
      </c>
      <c r="AL10" s="2"/>
      <c r="AM10" s="2">
        <f>Notes!$K3/2</f>
        <v>20160</v>
      </c>
      <c r="AN10" s="2">
        <f>Notes!$K3/2</f>
        <v>20160</v>
      </c>
      <c r="AS10" s="9">
        <f t="shared" si="25"/>
        <v>107520</v>
      </c>
    </row>
    <row r="11" spans="1:45" x14ac:dyDescent="0.2">
      <c r="A11" t="s">
        <v>213</v>
      </c>
      <c r="B11" s="2">
        <v>80000</v>
      </c>
      <c r="G11" s="11">
        <v>15000</v>
      </c>
      <c r="H11" s="11">
        <v>40000</v>
      </c>
      <c r="I11" s="11">
        <v>5000</v>
      </c>
      <c r="J11" s="11">
        <v>5000</v>
      </c>
      <c r="K11" s="11">
        <v>3000</v>
      </c>
      <c r="L11" s="11">
        <v>12000</v>
      </c>
      <c r="Q11" s="9">
        <f t="shared" si="21"/>
        <v>80000</v>
      </c>
      <c r="V11" s="11">
        <v>15000</v>
      </c>
      <c r="W11" s="11">
        <v>50000</v>
      </c>
      <c r="X11" s="11">
        <v>5000</v>
      </c>
      <c r="Y11" s="11">
        <v>5000</v>
      </c>
      <c r="Z11" s="11">
        <v>3000</v>
      </c>
      <c r="AA11" s="11">
        <v>12000</v>
      </c>
      <c r="AE11" s="9">
        <f t="shared" si="24"/>
        <v>90000</v>
      </c>
      <c r="AJ11" s="11">
        <v>15000</v>
      </c>
      <c r="AK11" s="11">
        <v>60000</v>
      </c>
      <c r="AL11" s="11">
        <v>5000</v>
      </c>
      <c r="AM11" s="11">
        <v>5000</v>
      </c>
      <c r="AN11" s="11">
        <v>3000</v>
      </c>
      <c r="AO11" s="11">
        <v>12000</v>
      </c>
      <c r="AS11" s="9">
        <f t="shared" si="25"/>
        <v>100000</v>
      </c>
    </row>
    <row r="12" spans="1:45" x14ac:dyDescent="0.2">
      <c r="A12" t="s">
        <v>257</v>
      </c>
      <c r="B12" s="2">
        <v>12000</v>
      </c>
      <c r="G12" s="11"/>
      <c r="H12" s="11"/>
      <c r="I12" s="11"/>
      <c r="J12" s="11">
        <f>$B12/12</f>
        <v>1000</v>
      </c>
      <c r="K12" s="11">
        <f t="shared" ref="K12:O12" si="26">$B12/12</f>
        <v>1000</v>
      </c>
      <c r="L12" s="11">
        <f t="shared" si="26"/>
        <v>1000</v>
      </c>
      <c r="M12" s="11">
        <f t="shared" si="26"/>
        <v>1000</v>
      </c>
      <c r="N12" s="11">
        <f t="shared" si="26"/>
        <v>1000</v>
      </c>
      <c r="O12" s="11">
        <f t="shared" si="26"/>
        <v>1000</v>
      </c>
      <c r="Q12" s="9">
        <f t="shared" si="21"/>
        <v>6000</v>
      </c>
      <c r="R12" s="1">
        <v>1.02</v>
      </c>
      <c r="S12" s="11">
        <f>$B12/12*$R12</f>
        <v>1020</v>
      </c>
      <c r="T12" s="11">
        <f t="shared" ref="T12:AD12" si="27">$B12/12*$R12</f>
        <v>1020</v>
      </c>
      <c r="U12" s="11">
        <f t="shared" si="27"/>
        <v>1020</v>
      </c>
      <c r="V12" s="11">
        <f t="shared" si="27"/>
        <v>1020</v>
      </c>
      <c r="W12" s="11">
        <f t="shared" si="27"/>
        <v>1020</v>
      </c>
      <c r="X12" s="11">
        <f t="shared" si="27"/>
        <v>1020</v>
      </c>
      <c r="Y12" s="11">
        <f t="shared" si="27"/>
        <v>1020</v>
      </c>
      <c r="Z12" s="11">
        <f t="shared" si="27"/>
        <v>1020</v>
      </c>
      <c r="AA12" s="11">
        <f t="shared" si="27"/>
        <v>1020</v>
      </c>
      <c r="AB12" s="11">
        <f t="shared" si="27"/>
        <v>1020</v>
      </c>
      <c r="AC12" s="11">
        <f t="shared" si="27"/>
        <v>1020</v>
      </c>
      <c r="AD12" s="11">
        <f t="shared" si="27"/>
        <v>1020</v>
      </c>
      <c r="AE12" s="9">
        <f t="shared" si="24"/>
        <v>12240</v>
      </c>
      <c r="AF12" s="1">
        <v>1.02</v>
      </c>
      <c r="AG12" s="11">
        <f>$AE12/12*$AF12</f>
        <v>1040.4000000000001</v>
      </c>
      <c r="AH12" s="11">
        <f t="shared" ref="AH12:AR12" si="28">$AE12/12*$AF12</f>
        <v>1040.4000000000001</v>
      </c>
      <c r="AI12" s="11">
        <f t="shared" si="28"/>
        <v>1040.4000000000001</v>
      </c>
      <c r="AJ12" s="11">
        <f t="shared" si="28"/>
        <v>1040.4000000000001</v>
      </c>
      <c r="AK12" s="11">
        <f t="shared" si="28"/>
        <v>1040.4000000000001</v>
      </c>
      <c r="AL12" s="11">
        <f t="shared" si="28"/>
        <v>1040.4000000000001</v>
      </c>
      <c r="AM12" s="11">
        <f t="shared" si="28"/>
        <v>1040.4000000000001</v>
      </c>
      <c r="AN12" s="11">
        <f t="shared" si="28"/>
        <v>1040.4000000000001</v>
      </c>
      <c r="AO12" s="11">
        <f t="shared" si="28"/>
        <v>1040.4000000000001</v>
      </c>
      <c r="AP12" s="11">
        <f t="shared" si="28"/>
        <v>1040.4000000000001</v>
      </c>
      <c r="AQ12" s="11">
        <f t="shared" si="28"/>
        <v>1040.4000000000001</v>
      </c>
      <c r="AR12" s="11">
        <f t="shared" si="28"/>
        <v>1040.4000000000001</v>
      </c>
      <c r="AS12" s="9">
        <f t="shared" si="25"/>
        <v>12484.799999999997</v>
      </c>
    </row>
    <row r="13" spans="1:45" x14ac:dyDescent="0.2">
      <c r="A13" t="s">
        <v>258</v>
      </c>
      <c r="B13" s="21" t="s">
        <v>261</v>
      </c>
      <c r="G13" s="11"/>
      <c r="H13" s="11"/>
      <c r="I13" s="11"/>
      <c r="J13" s="11"/>
      <c r="K13" s="11"/>
      <c r="L13" s="11"/>
      <c r="M13" s="11"/>
      <c r="N13" s="11"/>
      <c r="O13" s="11"/>
      <c r="Q13" s="9">
        <f t="shared" si="21"/>
        <v>0</v>
      </c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9">
        <f t="shared" si="24"/>
        <v>0</v>
      </c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9">
        <f t="shared" si="25"/>
        <v>0</v>
      </c>
    </row>
    <row r="14" spans="1:45" x14ac:dyDescent="0.2">
      <c r="A14" t="s">
        <v>214</v>
      </c>
      <c r="B14" s="21" t="s">
        <v>262</v>
      </c>
      <c r="G14" s="11"/>
      <c r="H14" s="11"/>
      <c r="I14" s="11"/>
      <c r="J14" s="11"/>
      <c r="K14" s="11"/>
      <c r="L14" s="11"/>
      <c r="Q14" s="9">
        <f t="shared" si="21"/>
        <v>0</v>
      </c>
      <c r="V14" s="11">
        <f>75000/4</f>
        <v>18750</v>
      </c>
      <c r="W14" s="11">
        <f>75000/2</f>
        <v>37500</v>
      </c>
      <c r="X14" s="11">
        <f>75000/4</f>
        <v>18750</v>
      </c>
      <c r="AE14" s="9">
        <f t="shared" si="24"/>
        <v>75000</v>
      </c>
      <c r="AJ14" s="11">
        <f>75000/4</f>
        <v>18750</v>
      </c>
      <c r="AK14" s="11">
        <f>75000/2</f>
        <v>37500</v>
      </c>
      <c r="AL14" s="11">
        <f>75000/4</f>
        <v>18750</v>
      </c>
      <c r="AS14" s="9">
        <f t="shared" si="25"/>
        <v>75000</v>
      </c>
    </row>
    <row r="15" spans="1:45" ht="9" customHeight="1" x14ac:dyDescent="0.3"/>
    <row r="16" spans="1:45" s="3" customFormat="1" x14ac:dyDescent="0.2">
      <c r="A16" s="3" t="s">
        <v>186</v>
      </c>
      <c r="F16" s="9"/>
      <c r="G16" s="9">
        <f t="shared" ref="G16:L16" si="29">SUM(G7:G15)</f>
        <v>142500</v>
      </c>
      <c r="H16" s="9">
        <f t="shared" si="29"/>
        <v>221280</v>
      </c>
      <c r="I16" s="9">
        <f t="shared" si="29"/>
        <v>91380</v>
      </c>
      <c r="J16" s="9">
        <f t="shared" si="29"/>
        <v>63720</v>
      </c>
      <c r="K16" s="9">
        <f t="shared" si="29"/>
        <v>42940</v>
      </c>
      <c r="L16" s="9">
        <f t="shared" si="29"/>
        <v>44300</v>
      </c>
      <c r="M16" s="9">
        <f t="shared" ref="M16" si="30">SUM(M7:M15)</f>
        <v>13520</v>
      </c>
      <c r="N16" s="9">
        <f t="shared" ref="N16" si="31">SUM(N7:N15)</f>
        <v>19780</v>
      </c>
      <c r="O16" s="9">
        <f t="shared" ref="O16" si="32">SUM(O7:O15)</f>
        <v>32300</v>
      </c>
      <c r="Q16" s="31">
        <f>SUM(Q7:Q15)</f>
        <v>671720</v>
      </c>
      <c r="S16" s="9">
        <f t="shared" ref="S16" si="33">SUM(S7:S15)</f>
        <v>39331.199999999997</v>
      </c>
      <c r="T16" s="9">
        <f t="shared" ref="T16" si="34">SUM(T7:T15)</f>
        <v>77642.399999999994</v>
      </c>
      <c r="U16" s="9">
        <f t="shared" ref="U16" si="35">SUM(U7:U15)</f>
        <v>77642.399999999994</v>
      </c>
      <c r="V16" s="9">
        <f t="shared" ref="V16" si="36">SUM(V7:V15)</f>
        <v>164148</v>
      </c>
      <c r="W16" s="9">
        <f t="shared" ref="W16" si="37">SUM(W7:W15)</f>
        <v>272053.59999999998</v>
      </c>
      <c r="X16" s="9">
        <f t="shared" ref="X16" si="38">SUM(X7:X15)</f>
        <v>112777.60000000001</v>
      </c>
      <c r="Y16" s="9">
        <f t="shared" ref="Y16" si="39">SUM(Y7:Y15)</f>
        <v>64491.199999999997</v>
      </c>
      <c r="Z16" s="9">
        <f t="shared" ref="Z16" si="40">SUM(Z7:Z15)</f>
        <v>43335.6</v>
      </c>
      <c r="AA16" s="9">
        <f t="shared" ref="AA16" si="41">SUM(AA7:AA15)</f>
        <v>44946</v>
      </c>
      <c r="AB16" s="9">
        <f t="shared" ref="AB16" si="42">SUM(AB7:AB15)</f>
        <v>13790.4</v>
      </c>
      <c r="AC16" s="9">
        <f t="shared" ref="AC16" si="43">SUM(AC7:AC15)</f>
        <v>20175.599999999999</v>
      </c>
      <c r="AD16" s="9">
        <f t="shared" ref="AD16" si="44">SUM(AD7:AD15)</f>
        <v>32946</v>
      </c>
      <c r="AE16" s="31">
        <f>SUM(S16:AD16)</f>
        <v>963279.99999999988</v>
      </c>
      <c r="AG16" s="9">
        <f t="shared" ref="AG16:AR16" si="45">SUM(AG7:AG15)</f>
        <v>40117.824000000008</v>
      </c>
      <c r="AH16" s="9">
        <f t="shared" si="45"/>
        <v>79195.248000000007</v>
      </c>
      <c r="AI16" s="9">
        <f t="shared" si="45"/>
        <v>79195.248000000007</v>
      </c>
      <c r="AJ16" s="9">
        <f t="shared" si="45"/>
        <v>166083.96</v>
      </c>
      <c r="AK16" s="9">
        <f t="shared" si="45"/>
        <v>284372.67200000002</v>
      </c>
      <c r="AL16" s="9">
        <f t="shared" si="45"/>
        <v>114458.15199999999</v>
      </c>
      <c r="AM16" s="9">
        <f t="shared" si="45"/>
        <v>65277.824000000008</v>
      </c>
      <c r="AN16" s="9">
        <f t="shared" si="45"/>
        <v>43739.112000000001</v>
      </c>
      <c r="AO16" s="9">
        <f t="shared" si="45"/>
        <v>45604.920000000006</v>
      </c>
      <c r="AP16" s="9">
        <f t="shared" si="45"/>
        <v>14066.208000000001</v>
      </c>
      <c r="AQ16" s="9">
        <f t="shared" si="45"/>
        <v>20579.112000000005</v>
      </c>
      <c r="AR16" s="9">
        <f t="shared" si="45"/>
        <v>33604.920000000006</v>
      </c>
      <c r="AS16" s="31">
        <f>SUM(AG16:AR16)</f>
        <v>986295.20000000007</v>
      </c>
    </row>
    <row r="18" spans="1:45" x14ac:dyDescent="0.2">
      <c r="A18" s="3" t="s">
        <v>183</v>
      </c>
    </row>
    <row r="19" spans="1:45" x14ac:dyDescent="0.2">
      <c r="A19" t="s">
        <v>249</v>
      </c>
      <c r="B19" s="1">
        <v>0.35</v>
      </c>
      <c r="C19" t="s">
        <v>224</v>
      </c>
      <c r="F19" s="2"/>
      <c r="G19" s="2">
        <f t="shared" ref="G19:O19" si="46">G7*35%</f>
        <v>29714.999999999996</v>
      </c>
      <c r="H19" s="2">
        <f t="shared" si="46"/>
        <v>35658</v>
      </c>
      <c r="I19" s="2">
        <f t="shared" si="46"/>
        <v>25753</v>
      </c>
      <c r="J19" s="2">
        <f t="shared" si="46"/>
        <v>11886</v>
      </c>
      <c r="K19" s="2">
        <f t="shared" si="46"/>
        <v>5943</v>
      </c>
      <c r="L19" s="2">
        <f t="shared" si="46"/>
        <v>9905</v>
      </c>
      <c r="M19" s="2">
        <f t="shared" si="46"/>
        <v>3961.9999999999995</v>
      </c>
      <c r="N19" s="2">
        <f t="shared" si="46"/>
        <v>5943</v>
      </c>
      <c r="O19" s="2">
        <f t="shared" si="46"/>
        <v>9905</v>
      </c>
      <c r="Q19" s="9">
        <f>SUM(C19:O19)</f>
        <v>138670</v>
      </c>
      <c r="R19" s="26" t="s">
        <v>283</v>
      </c>
      <c r="S19" s="2">
        <f t="shared" ref="S19:AD19" si="47">S16*35%</f>
        <v>13765.919999999998</v>
      </c>
      <c r="T19" s="2">
        <f t="shared" si="47"/>
        <v>27174.839999999997</v>
      </c>
      <c r="U19" s="2">
        <f t="shared" si="47"/>
        <v>27174.839999999997</v>
      </c>
      <c r="V19" s="2">
        <f t="shared" si="47"/>
        <v>57451.799999999996</v>
      </c>
      <c r="W19" s="2">
        <f t="shared" si="47"/>
        <v>95218.75999999998</v>
      </c>
      <c r="X19" s="2">
        <f t="shared" si="47"/>
        <v>39472.159999999996</v>
      </c>
      <c r="Y19" s="2">
        <f t="shared" si="47"/>
        <v>22571.919999999998</v>
      </c>
      <c r="Z19" s="2">
        <f t="shared" si="47"/>
        <v>15167.46</v>
      </c>
      <c r="AA19" s="2">
        <f t="shared" si="47"/>
        <v>15731.099999999999</v>
      </c>
      <c r="AB19" s="2">
        <f t="shared" si="47"/>
        <v>4826.6399999999994</v>
      </c>
      <c r="AC19" s="2">
        <f t="shared" si="47"/>
        <v>7061.4599999999991</v>
      </c>
      <c r="AD19" s="2">
        <f t="shared" si="47"/>
        <v>11531.099999999999</v>
      </c>
      <c r="AE19" s="9">
        <f t="shared" ref="AE19:AE25" si="48">SUM(S19:AD19)</f>
        <v>337148</v>
      </c>
      <c r="AF19" s="26" t="s">
        <v>283</v>
      </c>
      <c r="AG19" s="2">
        <f t="shared" ref="AG19:AR19" si="49">AG16*35%</f>
        <v>14041.238400000002</v>
      </c>
      <c r="AH19" s="2">
        <f t="shared" si="49"/>
        <v>27718.336800000001</v>
      </c>
      <c r="AI19" s="2">
        <f t="shared" si="49"/>
        <v>27718.336800000001</v>
      </c>
      <c r="AJ19" s="2">
        <f t="shared" si="49"/>
        <v>58129.385999999991</v>
      </c>
      <c r="AK19" s="2">
        <f t="shared" si="49"/>
        <v>99530.435200000007</v>
      </c>
      <c r="AL19" s="2">
        <f t="shared" si="49"/>
        <v>40060.35319999999</v>
      </c>
      <c r="AM19" s="2">
        <f t="shared" si="49"/>
        <v>22847.238400000002</v>
      </c>
      <c r="AN19" s="2">
        <f t="shared" si="49"/>
        <v>15308.689199999999</v>
      </c>
      <c r="AO19" s="2">
        <f t="shared" si="49"/>
        <v>15961.722000000002</v>
      </c>
      <c r="AP19" s="2">
        <f t="shared" si="49"/>
        <v>4923.1728000000003</v>
      </c>
      <c r="AQ19" s="2">
        <f t="shared" si="49"/>
        <v>7202.6892000000007</v>
      </c>
      <c r="AR19" s="2">
        <f t="shared" si="49"/>
        <v>11761.722000000002</v>
      </c>
      <c r="AS19" s="9">
        <f t="shared" ref="AS19:AS25" si="50">SUM(AG19:AR19)</f>
        <v>345203.32000000012</v>
      </c>
    </row>
    <row r="20" spans="1:45" x14ac:dyDescent="0.2">
      <c r="A20" t="s">
        <v>184</v>
      </c>
      <c r="B20" s="1">
        <v>0.3</v>
      </c>
      <c r="C20" t="s">
        <v>224</v>
      </c>
      <c r="F20" s="2"/>
      <c r="G20" s="2">
        <f t="shared" ref="G20:O20" si="51">G7*30%</f>
        <v>25470</v>
      </c>
      <c r="H20" s="2">
        <f t="shared" si="51"/>
        <v>30564</v>
      </c>
      <c r="I20" s="2">
        <f t="shared" si="51"/>
        <v>22074</v>
      </c>
      <c r="J20" s="2">
        <f t="shared" si="51"/>
        <v>10188</v>
      </c>
      <c r="K20" s="2">
        <f t="shared" si="51"/>
        <v>5094</v>
      </c>
      <c r="L20" s="2">
        <f t="shared" si="51"/>
        <v>8490</v>
      </c>
      <c r="M20" s="2">
        <f t="shared" si="51"/>
        <v>3396</v>
      </c>
      <c r="N20" s="2">
        <f t="shared" si="51"/>
        <v>5094</v>
      </c>
      <c r="O20" s="2">
        <f t="shared" si="51"/>
        <v>8490</v>
      </c>
      <c r="Q20" s="9">
        <f t="shared" ref="Q20:Q25" si="52">SUM(C20:O20)</f>
        <v>118860</v>
      </c>
      <c r="R20" s="26" t="s">
        <v>283</v>
      </c>
      <c r="S20" s="2">
        <f t="shared" ref="S20:AD20" si="53">S7*30%</f>
        <v>10391.759999999998</v>
      </c>
      <c r="T20" s="2">
        <f t="shared" si="53"/>
        <v>20783.519999999997</v>
      </c>
      <c r="U20" s="2">
        <f t="shared" si="53"/>
        <v>20783.519999999997</v>
      </c>
      <c r="V20" s="2">
        <f t="shared" si="53"/>
        <v>25979.399999999998</v>
      </c>
      <c r="W20" s="2">
        <f t="shared" si="53"/>
        <v>31175.279999999999</v>
      </c>
      <c r="X20" s="2">
        <f t="shared" si="53"/>
        <v>22515.48</v>
      </c>
      <c r="Y20" s="2">
        <f t="shared" si="53"/>
        <v>10391.759999999998</v>
      </c>
      <c r="Z20" s="2">
        <f t="shared" si="53"/>
        <v>5195.8799999999992</v>
      </c>
      <c r="AA20" s="2">
        <f t="shared" si="53"/>
        <v>8659.7999999999993</v>
      </c>
      <c r="AB20" s="2">
        <f t="shared" si="53"/>
        <v>3463.9199999999996</v>
      </c>
      <c r="AC20" s="2">
        <f t="shared" si="53"/>
        <v>5195.8799999999992</v>
      </c>
      <c r="AD20" s="2">
        <f t="shared" si="53"/>
        <v>8659.7999999999993</v>
      </c>
      <c r="AE20" s="9">
        <f t="shared" si="48"/>
        <v>173196</v>
      </c>
      <c r="AF20" s="26" t="s">
        <v>283</v>
      </c>
      <c r="AG20" s="2">
        <f t="shared" ref="AG20:AR20" si="54">AG7*30%</f>
        <v>10599.595200000002</v>
      </c>
      <c r="AH20" s="2">
        <f t="shared" si="54"/>
        <v>21199.190400000003</v>
      </c>
      <c r="AI20" s="2">
        <f t="shared" si="54"/>
        <v>21199.190400000003</v>
      </c>
      <c r="AJ20" s="2">
        <f t="shared" si="54"/>
        <v>26498.988000000001</v>
      </c>
      <c r="AK20" s="2">
        <f t="shared" si="54"/>
        <v>31798.785599999999</v>
      </c>
      <c r="AL20" s="2">
        <f t="shared" si="54"/>
        <v>22965.7896</v>
      </c>
      <c r="AM20" s="2">
        <f t="shared" si="54"/>
        <v>10599.595200000002</v>
      </c>
      <c r="AN20" s="2">
        <f t="shared" si="54"/>
        <v>5299.7976000000008</v>
      </c>
      <c r="AO20" s="2">
        <f t="shared" si="54"/>
        <v>8832.996000000001</v>
      </c>
      <c r="AP20" s="2">
        <f t="shared" si="54"/>
        <v>3533.1984000000002</v>
      </c>
      <c r="AQ20" s="2">
        <f t="shared" si="54"/>
        <v>5299.7976000000008</v>
      </c>
      <c r="AR20" s="2">
        <f t="shared" si="54"/>
        <v>8832.996000000001</v>
      </c>
      <c r="AS20" s="9">
        <f t="shared" si="50"/>
        <v>176659.92</v>
      </c>
    </row>
    <row r="21" spans="1:45" x14ac:dyDescent="0.2">
      <c r="A21" t="s">
        <v>246</v>
      </c>
      <c r="B21" s="1">
        <v>0.4</v>
      </c>
      <c r="C21" t="s">
        <v>247</v>
      </c>
      <c r="F21" s="2"/>
      <c r="G21" s="2">
        <f t="shared" ref="G21:O21" si="55">G8*$B21</f>
        <v>3600</v>
      </c>
      <c r="H21" s="2">
        <f t="shared" si="55"/>
        <v>4320</v>
      </c>
      <c r="I21" s="2">
        <f t="shared" si="55"/>
        <v>3120</v>
      </c>
      <c r="J21" s="2">
        <f t="shared" si="55"/>
        <v>1440</v>
      </c>
      <c r="K21" s="2">
        <f t="shared" si="55"/>
        <v>720</v>
      </c>
      <c r="L21" s="2">
        <f t="shared" si="55"/>
        <v>1200</v>
      </c>
      <c r="M21" s="2">
        <f t="shared" si="55"/>
        <v>480</v>
      </c>
      <c r="N21" s="2">
        <f t="shared" si="55"/>
        <v>720</v>
      </c>
      <c r="O21" s="2">
        <f t="shared" si="55"/>
        <v>1200</v>
      </c>
      <c r="Q21" s="9">
        <f t="shared" si="52"/>
        <v>16800</v>
      </c>
      <c r="R21" s="26" t="s">
        <v>283</v>
      </c>
      <c r="S21" s="2">
        <f t="shared" ref="S21:AD21" si="56">S8*$B21</f>
        <v>1468.8000000000002</v>
      </c>
      <c r="T21" s="2">
        <f t="shared" si="56"/>
        <v>2937.6000000000004</v>
      </c>
      <c r="U21" s="2">
        <f t="shared" si="56"/>
        <v>2937.6000000000004</v>
      </c>
      <c r="V21" s="2">
        <f t="shared" si="56"/>
        <v>3672</v>
      </c>
      <c r="W21" s="2">
        <f t="shared" si="56"/>
        <v>4406.4000000000005</v>
      </c>
      <c r="X21" s="2">
        <f t="shared" si="56"/>
        <v>3182.4</v>
      </c>
      <c r="Y21" s="2">
        <f t="shared" si="56"/>
        <v>1468.8000000000002</v>
      </c>
      <c r="Z21" s="2">
        <f t="shared" si="56"/>
        <v>734.40000000000009</v>
      </c>
      <c r="AA21" s="2">
        <f t="shared" si="56"/>
        <v>1224</v>
      </c>
      <c r="AB21" s="2">
        <f t="shared" si="56"/>
        <v>489.6</v>
      </c>
      <c r="AC21" s="2">
        <f t="shared" si="56"/>
        <v>734.40000000000009</v>
      </c>
      <c r="AD21" s="2">
        <f t="shared" si="56"/>
        <v>1224</v>
      </c>
      <c r="AE21" s="9">
        <f t="shared" si="48"/>
        <v>24480.000000000004</v>
      </c>
      <c r="AF21" s="26" t="s">
        <v>283</v>
      </c>
      <c r="AG21" s="2">
        <f t="shared" ref="AG21:AR21" si="57">AG8*$B21</f>
        <v>1498.1760000000002</v>
      </c>
      <c r="AH21" s="2">
        <f t="shared" si="57"/>
        <v>2996.3520000000003</v>
      </c>
      <c r="AI21" s="2">
        <f t="shared" si="57"/>
        <v>2996.3520000000003</v>
      </c>
      <c r="AJ21" s="2">
        <f t="shared" si="57"/>
        <v>3745.4400000000005</v>
      </c>
      <c r="AK21" s="2">
        <f t="shared" si="57"/>
        <v>4494.5280000000002</v>
      </c>
      <c r="AL21" s="2">
        <f t="shared" si="57"/>
        <v>3246.0480000000002</v>
      </c>
      <c r="AM21" s="2">
        <f t="shared" si="57"/>
        <v>1498.1760000000002</v>
      </c>
      <c r="AN21" s="2">
        <f t="shared" si="57"/>
        <v>749.08800000000008</v>
      </c>
      <c r="AO21" s="2">
        <f t="shared" si="57"/>
        <v>1248.4800000000002</v>
      </c>
      <c r="AP21" s="2">
        <f t="shared" si="57"/>
        <v>499.39200000000005</v>
      </c>
      <c r="AQ21" s="2">
        <f t="shared" si="57"/>
        <v>749.08800000000008</v>
      </c>
      <c r="AR21" s="2">
        <f t="shared" si="57"/>
        <v>1248.4800000000002</v>
      </c>
      <c r="AS21" s="9">
        <f t="shared" si="50"/>
        <v>24969.599999999999</v>
      </c>
    </row>
    <row r="22" spans="1:45" x14ac:dyDescent="0.2">
      <c r="A22" t="s">
        <v>250</v>
      </c>
      <c r="B22" s="1"/>
      <c r="F22" s="2"/>
      <c r="G22" s="2">
        <f>Notes!G6</f>
        <v>3920</v>
      </c>
      <c r="H22" s="2">
        <f>Notes!G6+Notes!G8</f>
        <v>10346</v>
      </c>
      <c r="J22" s="2">
        <f>Notes!G7</f>
        <v>3332</v>
      </c>
      <c r="K22" s="2">
        <f>Notes!G7</f>
        <v>3332</v>
      </c>
      <c r="L22" s="2"/>
      <c r="M22" s="2"/>
      <c r="N22" s="2"/>
      <c r="O22" s="2"/>
      <c r="Q22" s="9">
        <f t="shared" si="52"/>
        <v>20930</v>
      </c>
      <c r="R22" s="1">
        <v>1.02</v>
      </c>
      <c r="S22" s="2"/>
      <c r="T22" s="2"/>
      <c r="U22" s="2"/>
      <c r="V22" s="2">
        <f>G22*$R22</f>
        <v>3998.4</v>
      </c>
      <c r="W22" s="2">
        <f t="shared" ref="W22:Z22" si="58">H22*$R22</f>
        <v>10552.92</v>
      </c>
      <c r="X22" s="2"/>
      <c r="Y22" s="2">
        <f t="shared" si="58"/>
        <v>3398.64</v>
      </c>
      <c r="Z22" s="2">
        <f t="shared" si="58"/>
        <v>3398.64</v>
      </c>
      <c r="AA22" s="2"/>
      <c r="AB22" s="2"/>
      <c r="AC22" s="2"/>
      <c r="AD22" s="2"/>
      <c r="AE22" s="9">
        <f t="shared" si="48"/>
        <v>21348.6</v>
      </c>
      <c r="AF22" s="1">
        <v>1.02</v>
      </c>
      <c r="AG22" s="2"/>
      <c r="AH22" s="2"/>
      <c r="AI22" s="2"/>
      <c r="AJ22" s="2">
        <f>V22*$AF22</f>
        <v>4078.3679999999999</v>
      </c>
      <c r="AK22" s="2">
        <f t="shared" ref="AK22:AN22" si="59">W22*$AF22</f>
        <v>10763.9784</v>
      </c>
      <c r="AL22" s="2"/>
      <c r="AM22" s="2">
        <f t="shared" si="59"/>
        <v>3466.6127999999999</v>
      </c>
      <c r="AN22" s="2">
        <f t="shared" si="59"/>
        <v>3466.6127999999999</v>
      </c>
      <c r="AO22" s="2"/>
      <c r="AP22" s="2"/>
      <c r="AQ22" s="2"/>
      <c r="AR22" s="2"/>
      <c r="AS22" s="9">
        <f t="shared" si="50"/>
        <v>21775.572</v>
      </c>
    </row>
    <row r="23" spans="1:45" x14ac:dyDescent="0.2">
      <c r="A23" t="s">
        <v>259</v>
      </c>
      <c r="B23" s="1"/>
      <c r="F23" s="2"/>
      <c r="G23" s="2">
        <v>15680</v>
      </c>
      <c r="H23" s="2"/>
      <c r="J23" s="2">
        <v>11200</v>
      </c>
      <c r="K23" s="2"/>
      <c r="L23" s="2"/>
      <c r="M23" s="2"/>
      <c r="N23" s="2"/>
      <c r="O23" s="2"/>
      <c r="Q23" s="9">
        <f t="shared" si="52"/>
        <v>26880</v>
      </c>
      <c r="R23" s="1">
        <v>1.02</v>
      </c>
      <c r="S23" s="2"/>
      <c r="T23" s="2"/>
      <c r="U23" s="2"/>
      <c r="V23" s="2">
        <f>G23*$R23</f>
        <v>15993.6</v>
      </c>
      <c r="W23" s="2"/>
      <c r="Y23" s="2">
        <f>J23*$R23</f>
        <v>11424</v>
      </c>
      <c r="Z23" s="2"/>
      <c r="AA23" s="2"/>
      <c r="AB23" s="2"/>
      <c r="AC23" s="2"/>
      <c r="AD23" s="2"/>
      <c r="AE23" s="9">
        <f t="shared" si="48"/>
        <v>27417.599999999999</v>
      </c>
      <c r="AF23" s="1">
        <v>1.02</v>
      </c>
      <c r="AG23" s="2"/>
      <c r="AH23" s="2"/>
      <c r="AI23" s="2"/>
      <c r="AJ23" s="2">
        <f>V23*$R23</f>
        <v>16313.472</v>
      </c>
      <c r="AK23" s="2"/>
      <c r="AM23" s="2">
        <f>Y23*$R23</f>
        <v>11652.48</v>
      </c>
      <c r="AN23" s="2"/>
      <c r="AO23" s="2"/>
      <c r="AP23" s="2"/>
      <c r="AQ23" s="2"/>
      <c r="AR23" s="2"/>
      <c r="AS23" s="9">
        <f t="shared" si="50"/>
        <v>27965.951999999997</v>
      </c>
    </row>
    <row r="24" spans="1:45" x14ac:dyDescent="0.2">
      <c r="A24" t="s">
        <v>185</v>
      </c>
      <c r="B24" s="1">
        <v>0.35</v>
      </c>
      <c r="C24" t="s">
        <v>225</v>
      </c>
      <c r="G24" s="2">
        <f t="shared" ref="G24:L24" si="60">G11*$B24</f>
        <v>5250</v>
      </c>
      <c r="H24" s="2">
        <f t="shared" si="60"/>
        <v>14000</v>
      </c>
      <c r="I24" s="2">
        <f t="shared" si="60"/>
        <v>1750</v>
      </c>
      <c r="J24" s="2">
        <f t="shared" si="60"/>
        <v>1750</v>
      </c>
      <c r="K24" s="2">
        <f t="shared" si="60"/>
        <v>1050</v>
      </c>
      <c r="L24" s="2">
        <f t="shared" si="60"/>
        <v>4200</v>
      </c>
      <c r="Q24" s="9">
        <f t="shared" si="52"/>
        <v>28000</v>
      </c>
      <c r="R24" s="1">
        <v>1.02</v>
      </c>
      <c r="V24" s="2">
        <f>V11*$B24*$R24</f>
        <v>5355</v>
      </c>
      <c r="W24" s="2">
        <f t="shared" ref="W24:AA24" si="61">W11*$B24*$R24</f>
        <v>17850</v>
      </c>
      <c r="X24" s="2">
        <f t="shared" si="61"/>
        <v>1785</v>
      </c>
      <c r="Y24" s="2">
        <f t="shared" si="61"/>
        <v>1785</v>
      </c>
      <c r="Z24" s="2">
        <f t="shared" si="61"/>
        <v>1071</v>
      </c>
      <c r="AA24" s="2">
        <f t="shared" si="61"/>
        <v>4284</v>
      </c>
      <c r="AE24" s="9">
        <f t="shared" si="48"/>
        <v>32130</v>
      </c>
      <c r="AF24" s="1">
        <v>1.02</v>
      </c>
      <c r="AJ24" s="2">
        <f>AJ11*$B24*$R24*$AF24</f>
        <v>5462.1</v>
      </c>
      <c r="AK24" s="2">
        <f t="shared" ref="AK24:AO24" si="62">AK11*$B24*$R24*$AF24</f>
        <v>21848.400000000001</v>
      </c>
      <c r="AL24" s="2">
        <f t="shared" si="62"/>
        <v>1820.7</v>
      </c>
      <c r="AM24" s="2">
        <f t="shared" si="62"/>
        <v>1820.7</v>
      </c>
      <c r="AN24" s="2">
        <f t="shared" si="62"/>
        <v>1092.42</v>
      </c>
      <c r="AO24" s="2">
        <f t="shared" si="62"/>
        <v>4369.68</v>
      </c>
      <c r="AS24" s="9">
        <f t="shared" si="50"/>
        <v>36414</v>
      </c>
    </row>
    <row r="25" spans="1:45" x14ac:dyDescent="0.2">
      <c r="A25" t="s">
        <v>255</v>
      </c>
      <c r="B25" s="2">
        <v>18000</v>
      </c>
      <c r="F25" s="2"/>
      <c r="G25" s="2">
        <f t="shared" ref="G25:O25" si="63">$B25/12</f>
        <v>1500</v>
      </c>
      <c r="H25" s="2">
        <f t="shared" si="63"/>
        <v>1500</v>
      </c>
      <c r="I25" s="2">
        <f t="shared" si="63"/>
        <v>1500</v>
      </c>
      <c r="J25" s="2">
        <f t="shared" si="63"/>
        <v>1500</v>
      </c>
      <c r="K25" s="2">
        <f t="shared" si="63"/>
        <v>1500</v>
      </c>
      <c r="L25" s="2">
        <f t="shared" si="63"/>
        <v>1500</v>
      </c>
      <c r="M25" s="2">
        <f t="shared" si="63"/>
        <v>1500</v>
      </c>
      <c r="N25" s="2">
        <f t="shared" si="63"/>
        <v>1500</v>
      </c>
      <c r="O25" s="2">
        <f t="shared" si="63"/>
        <v>1500</v>
      </c>
      <c r="Q25" s="9">
        <f t="shared" si="52"/>
        <v>13500</v>
      </c>
      <c r="R25" s="1">
        <v>1.02</v>
      </c>
      <c r="S25" s="2">
        <f>$B25/12*$R25</f>
        <v>1530</v>
      </c>
      <c r="T25" s="2">
        <f t="shared" ref="T25:AD25" si="64">$B25/12*$R25</f>
        <v>1530</v>
      </c>
      <c r="U25" s="2">
        <f t="shared" si="64"/>
        <v>1530</v>
      </c>
      <c r="V25" s="2">
        <f t="shared" si="64"/>
        <v>1530</v>
      </c>
      <c r="W25" s="2">
        <f t="shared" si="64"/>
        <v>1530</v>
      </c>
      <c r="X25" s="2">
        <f t="shared" si="64"/>
        <v>1530</v>
      </c>
      <c r="Y25" s="2">
        <f t="shared" si="64"/>
        <v>1530</v>
      </c>
      <c r="Z25" s="2">
        <f t="shared" si="64"/>
        <v>1530</v>
      </c>
      <c r="AA25" s="2">
        <f t="shared" si="64"/>
        <v>1530</v>
      </c>
      <c r="AB25" s="2">
        <f t="shared" si="64"/>
        <v>1530</v>
      </c>
      <c r="AC25" s="2">
        <f t="shared" si="64"/>
        <v>1530</v>
      </c>
      <c r="AD25" s="2">
        <f t="shared" si="64"/>
        <v>1530</v>
      </c>
      <c r="AE25" s="9">
        <f t="shared" si="48"/>
        <v>18360</v>
      </c>
      <c r="AF25" s="1">
        <v>1.02</v>
      </c>
      <c r="AG25" s="2">
        <f>$AE25/12*$AF25</f>
        <v>1560.6000000000001</v>
      </c>
      <c r="AH25" s="2">
        <f t="shared" ref="AH25:AR25" si="65">$AE25/12*$AF25</f>
        <v>1560.6000000000001</v>
      </c>
      <c r="AI25" s="2">
        <f t="shared" si="65"/>
        <v>1560.6000000000001</v>
      </c>
      <c r="AJ25" s="2">
        <f t="shared" si="65"/>
        <v>1560.6000000000001</v>
      </c>
      <c r="AK25" s="2">
        <f t="shared" si="65"/>
        <v>1560.6000000000001</v>
      </c>
      <c r="AL25" s="2">
        <f t="shared" si="65"/>
        <v>1560.6000000000001</v>
      </c>
      <c r="AM25" s="2">
        <f t="shared" si="65"/>
        <v>1560.6000000000001</v>
      </c>
      <c r="AN25" s="2">
        <f t="shared" si="65"/>
        <v>1560.6000000000001</v>
      </c>
      <c r="AO25" s="2">
        <f t="shared" si="65"/>
        <v>1560.6000000000001</v>
      </c>
      <c r="AP25" s="2">
        <f t="shared" si="65"/>
        <v>1560.6000000000001</v>
      </c>
      <c r="AQ25" s="2">
        <f t="shared" si="65"/>
        <v>1560.6000000000001</v>
      </c>
      <c r="AR25" s="2">
        <f t="shared" si="65"/>
        <v>1560.6000000000001</v>
      </c>
      <c r="AS25" s="9">
        <f t="shared" si="50"/>
        <v>18727.2</v>
      </c>
    </row>
    <row r="26" spans="1:45" ht="9" customHeight="1" x14ac:dyDescent="0.3">
      <c r="Q26" s="9"/>
    </row>
    <row r="27" spans="1:45" s="3" customFormat="1" x14ac:dyDescent="0.2">
      <c r="A27" s="3" t="s">
        <v>187</v>
      </c>
      <c r="F27" s="9"/>
      <c r="G27" s="9">
        <f t="shared" ref="G27:O27" si="66">SUM(G18:G26)</f>
        <v>85135</v>
      </c>
      <c r="H27" s="9">
        <f t="shared" si="66"/>
        <v>96388</v>
      </c>
      <c r="I27" s="9">
        <f t="shared" si="66"/>
        <v>54197</v>
      </c>
      <c r="J27" s="9">
        <f t="shared" si="66"/>
        <v>41296</v>
      </c>
      <c r="K27" s="9">
        <f t="shared" si="66"/>
        <v>17639</v>
      </c>
      <c r="L27" s="9">
        <f t="shared" si="66"/>
        <v>25295</v>
      </c>
      <c r="M27" s="9">
        <f t="shared" si="66"/>
        <v>9338</v>
      </c>
      <c r="N27" s="9">
        <f t="shared" si="66"/>
        <v>13257</v>
      </c>
      <c r="O27" s="9">
        <f t="shared" si="66"/>
        <v>21095</v>
      </c>
      <c r="Q27" s="31">
        <f>SUM(Q18:Q26)</f>
        <v>363640</v>
      </c>
      <c r="S27" s="9">
        <f t="shared" ref="S27:AE27" si="67">SUM(S18:S26)</f>
        <v>27156.479999999996</v>
      </c>
      <c r="T27" s="9">
        <f t="shared" si="67"/>
        <v>52425.959999999992</v>
      </c>
      <c r="U27" s="9">
        <f t="shared" si="67"/>
        <v>52425.959999999992</v>
      </c>
      <c r="V27" s="9">
        <f t="shared" si="67"/>
        <v>113980.2</v>
      </c>
      <c r="W27" s="9">
        <f t="shared" si="67"/>
        <v>160733.35999999999</v>
      </c>
      <c r="X27" s="9">
        <f t="shared" si="67"/>
        <v>68485.040000000008</v>
      </c>
      <c r="Y27" s="9">
        <f t="shared" si="67"/>
        <v>52570.119999999995</v>
      </c>
      <c r="Z27" s="9">
        <f t="shared" si="67"/>
        <v>27097.379999999997</v>
      </c>
      <c r="AA27" s="9">
        <f t="shared" si="67"/>
        <v>31428.899999999998</v>
      </c>
      <c r="AB27" s="9">
        <f t="shared" si="67"/>
        <v>10310.16</v>
      </c>
      <c r="AC27" s="9">
        <f t="shared" si="67"/>
        <v>14521.739999999998</v>
      </c>
      <c r="AD27" s="9">
        <f t="shared" si="67"/>
        <v>22944.899999999998</v>
      </c>
      <c r="AE27" s="9">
        <f t="shared" si="67"/>
        <v>634080.19999999995</v>
      </c>
      <c r="AG27" s="9">
        <f t="shared" ref="AG27:AS27" si="68">SUM(AG18:AG26)</f>
        <v>27699.609600000003</v>
      </c>
      <c r="AH27" s="9">
        <f t="shared" si="68"/>
        <v>53474.479200000002</v>
      </c>
      <c r="AI27" s="9">
        <f t="shared" si="68"/>
        <v>53474.479200000002</v>
      </c>
      <c r="AJ27" s="9">
        <f t="shared" si="68"/>
        <v>115788.35400000001</v>
      </c>
      <c r="AK27" s="9">
        <f t="shared" si="68"/>
        <v>169996.72719999999</v>
      </c>
      <c r="AL27" s="9">
        <f t="shared" si="68"/>
        <v>69653.490799999985</v>
      </c>
      <c r="AM27" s="9">
        <f t="shared" si="68"/>
        <v>53445.402399999999</v>
      </c>
      <c r="AN27" s="9">
        <f t="shared" si="68"/>
        <v>27477.207599999994</v>
      </c>
      <c r="AO27" s="9">
        <f t="shared" si="68"/>
        <v>31973.477999999999</v>
      </c>
      <c r="AP27" s="9">
        <f t="shared" si="68"/>
        <v>10516.363200000002</v>
      </c>
      <c r="AQ27" s="9">
        <f t="shared" si="68"/>
        <v>14812.174800000003</v>
      </c>
      <c r="AR27" s="9">
        <f t="shared" si="68"/>
        <v>23403.797999999999</v>
      </c>
      <c r="AS27" s="9">
        <f t="shared" si="68"/>
        <v>651715.56400000013</v>
      </c>
    </row>
    <row r="28" spans="1:45" x14ac:dyDescent="0.2">
      <c r="Q28" s="9"/>
    </row>
    <row r="29" spans="1:45" s="3" customFormat="1" ht="16.25" thickBot="1" x14ac:dyDescent="0.35">
      <c r="A29" s="45" t="s">
        <v>188</v>
      </c>
      <c r="B29" s="45"/>
      <c r="C29" s="45"/>
      <c r="D29" s="45"/>
      <c r="E29" s="45"/>
      <c r="F29" s="41"/>
      <c r="G29" s="41">
        <f t="shared" ref="G29:O29" si="69">G16-G27</f>
        <v>57365</v>
      </c>
      <c r="H29" s="41">
        <f t="shared" si="69"/>
        <v>124892</v>
      </c>
      <c r="I29" s="41">
        <f t="shared" si="69"/>
        <v>37183</v>
      </c>
      <c r="J29" s="41">
        <f t="shared" si="69"/>
        <v>22424</v>
      </c>
      <c r="K29" s="41">
        <f t="shared" si="69"/>
        <v>25301</v>
      </c>
      <c r="L29" s="41">
        <f t="shared" si="69"/>
        <v>19005</v>
      </c>
      <c r="M29" s="41">
        <f t="shared" si="69"/>
        <v>4182</v>
      </c>
      <c r="N29" s="41">
        <f t="shared" si="69"/>
        <v>6523</v>
      </c>
      <c r="O29" s="41">
        <f t="shared" si="69"/>
        <v>11205</v>
      </c>
      <c r="P29" s="45"/>
      <c r="Q29" s="41">
        <f>SUM(C29:O29)</f>
        <v>308080</v>
      </c>
      <c r="S29" s="41">
        <f t="shared" ref="S29:AE29" si="70">S16-S27</f>
        <v>12174.720000000001</v>
      </c>
      <c r="T29" s="41">
        <f t="shared" si="70"/>
        <v>25216.440000000002</v>
      </c>
      <c r="U29" s="41">
        <f t="shared" si="70"/>
        <v>25216.440000000002</v>
      </c>
      <c r="V29" s="41">
        <f t="shared" si="70"/>
        <v>50167.8</v>
      </c>
      <c r="W29" s="41">
        <f t="shared" si="70"/>
        <v>111320.23999999999</v>
      </c>
      <c r="X29" s="41">
        <f t="shared" si="70"/>
        <v>44292.56</v>
      </c>
      <c r="Y29" s="41">
        <f t="shared" si="70"/>
        <v>11921.080000000002</v>
      </c>
      <c r="Z29" s="41">
        <f t="shared" si="70"/>
        <v>16238.220000000001</v>
      </c>
      <c r="AA29" s="41">
        <f t="shared" si="70"/>
        <v>13517.100000000002</v>
      </c>
      <c r="AB29" s="41">
        <f t="shared" si="70"/>
        <v>3480.24</v>
      </c>
      <c r="AC29" s="41">
        <f t="shared" si="70"/>
        <v>5653.8600000000006</v>
      </c>
      <c r="AD29" s="41">
        <f t="shared" si="70"/>
        <v>10001.100000000002</v>
      </c>
      <c r="AE29" s="41">
        <f t="shared" si="70"/>
        <v>329199.79999999993</v>
      </c>
      <c r="AG29" s="41">
        <f t="shared" ref="AG29:AS29" si="71">AG16-AG27</f>
        <v>12418.214400000004</v>
      </c>
      <c r="AH29" s="41">
        <f t="shared" si="71"/>
        <v>25720.768800000005</v>
      </c>
      <c r="AI29" s="41">
        <f t="shared" si="71"/>
        <v>25720.768800000005</v>
      </c>
      <c r="AJ29" s="41">
        <f t="shared" si="71"/>
        <v>50295.605999999985</v>
      </c>
      <c r="AK29" s="41">
        <f t="shared" si="71"/>
        <v>114375.94480000003</v>
      </c>
      <c r="AL29" s="41">
        <f t="shared" si="71"/>
        <v>44804.661200000002</v>
      </c>
      <c r="AM29" s="41">
        <f t="shared" si="71"/>
        <v>11832.421600000009</v>
      </c>
      <c r="AN29" s="41">
        <f t="shared" si="71"/>
        <v>16261.904400000007</v>
      </c>
      <c r="AO29" s="41">
        <f t="shared" si="71"/>
        <v>13631.442000000006</v>
      </c>
      <c r="AP29" s="41">
        <f t="shared" si="71"/>
        <v>3549.8447999999989</v>
      </c>
      <c r="AQ29" s="41">
        <f t="shared" si="71"/>
        <v>5766.9372000000021</v>
      </c>
      <c r="AR29" s="41">
        <f t="shared" si="71"/>
        <v>10201.122000000007</v>
      </c>
      <c r="AS29" s="41">
        <f t="shared" si="71"/>
        <v>334579.63599999994</v>
      </c>
    </row>
    <row r="30" spans="1:45" ht="16.25" thickTop="1" x14ac:dyDescent="0.3"/>
    <row r="31" spans="1:45" x14ac:dyDescent="0.2">
      <c r="A31" s="3" t="s">
        <v>264</v>
      </c>
      <c r="B31" s="2"/>
    </row>
    <row r="32" spans="1:45" x14ac:dyDescent="0.2">
      <c r="A32" s="4" t="s">
        <v>268</v>
      </c>
      <c r="B32" s="2">
        <v>1200</v>
      </c>
      <c r="F32" s="2">
        <f>B32</f>
        <v>1200</v>
      </c>
    </row>
    <row r="33" spans="1:45" x14ac:dyDescent="0.2">
      <c r="A33" s="27" t="s">
        <v>265</v>
      </c>
      <c r="B33" s="2">
        <v>5000</v>
      </c>
      <c r="F33" s="2">
        <f>B33</f>
        <v>5000</v>
      </c>
    </row>
    <row r="34" spans="1:45" x14ac:dyDescent="0.2">
      <c r="A34" s="27" t="s">
        <v>266</v>
      </c>
      <c r="B34" s="2">
        <v>3000</v>
      </c>
      <c r="F34" s="2">
        <f t="shared" ref="F34:F36" si="72">B34</f>
        <v>3000</v>
      </c>
    </row>
    <row r="35" spans="1:45" x14ac:dyDescent="0.2">
      <c r="A35" s="27" t="s">
        <v>267</v>
      </c>
      <c r="B35" s="2">
        <v>2400</v>
      </c>
      <c r="F35" s="2">
        <f t="shared" si="72"/>
        <v>2400</v>
      </c>
    </row>
    <row r="36" spans="1:45" x14ac:dyDescent="0.2">
      <c r="A36" s="27" t="s">
        <v>284</v>
      </c>
      <c r="B36" s="2">
        <v>3000</v>
      </c>
      <c r="F36" s="2">
        <f t="shared" si="72"/>
        <v>3000</v>
      </c>
    </row>
    <row r="37" spans="1:45" ht="9" customHeight="1" x14ac:dyDescent="0.3"/>
    <row r="38" spans="1:45" x14ac:dyDescent="0.2">
      <c r="A38" s="56" t="s">
        <v>269</v>
      </c>
      <c r="F38" s="9">
        <f>SUM(F32:F37)</f>
        <v>14600</v>
      </c>
    </row>
    <row r="40" spans="1:45" x14ac:dyDescent="0.2">
      <c r="A40" s="3" t="s">
        <v>198</v>
      </c>
    </row>
    <row r="41" spans="1:45" x14ac:dyDescent="0.2">
      <c r="A41" s="27" t="s">
        <v>155</v>
      </c>
      <c r="B41" s="2">
        <f>'Transition min '!C5</f>
        <v>57500</v>
      </c>
      <c r="C41" t="s">
        <v>193</v>
      </c>
      <c r="F41" s="2"/>
      <c r="G41" s="2">
        <f t="shared" ref="G41:O45" si="73">$B41/12</f>
        <v>4791.666666666667</v>
      </c>
      <c r="H41" s="2">
        <f t="shared" si="73"/>
        <v>4791.666666666667</v>
      </c>
      <c r="I41" s="2">
        <f t="shared" si="73"/>
        <v>4791.666666666667</v>
      </c>
      <c r="J41" s="2">
        <f t="shared" si="73"/>
        <v>4791.666666666667</v>
      </c>
      <c r="K41" s="2">
        <f t="shared" si="73"/>
        <v>4791.666666666667</v>
      </c>
      <c r="L41" s="2">
        <f t="shared" si="73"/>
        <v>4791.666666666667</v>
      </c>
      <c r="M41" s="2">
        <f t="shared" si="73"/>
        <v>4791.666666666667</v>
      </c>
      <c r="N41" s="2">
        <f t="shared" si="73"/>
        <v>4791.666666666667</v>
      </c>
      <c r="O41" s="2">
        <f t="shared" si="73"/>
        <v>4791.666666666667</v>
      </c>
      <c r="Q41" s="9">
        <f>SUM(D41:O41)</f>
        <v>43125</v>
      </c>
      <c r="S41" s="2">
        <f>O41*102%</f>
        <v>4887.5</v>
      </c>
      <c r="T41" s="2">
        <f>S41</f>
        <v>4887.5</v>
      </c>
      <c r="U41" s="2">
        <f t="shared" ref="U41:Z41" si="74">T41</f>
        <v>4887.5</v>
      </c>
      <c r="V41" s="2">
        <f t="shared" si="74"/>
        <v>4887.5</v>
      </c>
      <c r="W41" s="2">
        <f t="shared" si="74"/>
        <v>4887.5</v>
      </c>
      <c r="X41" s="2">
        <f t="shared" si="74"/>
        <v>4887.5</v>
      </c>
      <c r="Y41" s="2">
        <f t="shared" si="74"/>
        <v>4887.5</v>
      </c>
      <c r="Z41" s="2">
        <f t="shared" si="74"/>
        <v>4887.5</v>
      </c>
      <c r="AA41" s="2">
        <f>Z41</f>
        <v>4887.5</v>
      </c>
      <c r="AB41" s="2">
        <f t="shared" ref="AB41:AD41" si="75">AA41</f>
        <v>4887.5</v>
      </c>
      <c r="AC41" s="2">
        <f t="shared" si="75"/>
        <v>4887.5</v>
      </c>
      <c r="AD41" s="2">
        <f t="shared" si="75"/>
        <v>4887.5</v>
      </c>
      <c r="AE41" s="9">
        <f>SUM(S41:AD41)</f>
        <v>58650</v>
      </c>
      <c r="AG41" s="2">
        <f>AC41*102%</f>
        <v>4985.25</v>
      </c>
      <c r="AH41" s="2">
        <f>AG41</f>
        <v>4985.25</v>
      </c>
      <c r="AI41" s="2">
        <f t="shared" ref="AI41:AI48" si="76">AH41</f>
        <v>4985.25</v>
      </c>
      <c r="AJ41" s="2">
        <f t="shared" ref="AJ41:AJ48" si="77">AI41</f>
        <v>4985.25</v>
      </c>
      <c r="AK41" s="2">
        <f t="shared" ref="AK41:AK48" si="78">AJ41</f>
        <v>4985.25</v>
      </c>
      <c r="AL41" s="2">
        <f t="shared" ref="AL41:AL48" si="79">AK41</f>
        <v>4985.25</v>
      </c>
      <c r="AM41" s="2">
        <f t="shared" ref="AM41:AM48" si="80">AL41</f>
        <v>4985.25</v>
      </c>
      <c r="AN41" s="2">
        <f t="shared" ref="AN41:AN48" si="81">AM41</f>
        <v>4985.25</v>
      </c>
      <c r="AO41" s="2">
        <f>AN41</f>
        <v>4985.25</v>
      </c>
      <c r="AP41" s="2">
        <f t="shared" ref="AP41:AP48" si="82">AO41</f>
        <v>4985.25</v>
      </c>
      <c r="AQ41" s="2">
        <f t="shared" ref="AQ41:AQ48" si="83">AP41</f>
        <v>4985.25</v>
      </c>
      <c r="AR41" s="2">
        <f t="shared" ref="AR41:AR48" si="84">AQ41</f>
        <v>4985.25</v>
      </c>
      <c r="AS41" s="9">
        <f>SUM(AG41:AR41)</f>
        <v>59823</v>
      </c>
    </row>
    <row r="42" spans="1:45" x14ac:dyDescent="0.2">
      <c r="A42" s="27" t="s">
        <v>195</v>
      </c>
      <c r="B42" s="2">
        <f>'Transition max'!C5</f>
        <v>19000</v>
      </c>
      <c r="C42" t="s">
        <v>196</v>
      </c>
      <c r="F42" s="2"/>
      <c r="G42" s="2"/>
      <c r="H42" s="2">
        <f>$B42/12</f>
        <v>1583.3333333333333</v>
      </c>
      <c r="I42" s="2">
        <f t="shared" si="73"/>
        <v>1583.3333333333333</v>
      </c>
      <c r="J42" s="2">
        <f t="shared" si="73"/>
        <v>1583.3333333333333</v>
      </c>
      <c r="K42" s="2">
        <f t="shared" si="73"/>
        <v>1583.3333333333333</v>
      </c>
      <c r="L42" s="2">
        <f t="shared" si="73"/>
        <v>1583.3333333333333</v>
      </c>
      <c r="M42" s="2">
        <f t="shared" si="73"/>
        <v>1583.3333333333333</v>
      </c>
      <c r="N42" s="2">
        <f t="shared" si="73"/>
        <v>1583.3333333333333</v>
      </c>
      <c r="O42" s="2">
        <f t="shared" si="73"/>
        <v>1583.3333333333333</v>
      </c>
      <c r="Q42" s="9">
        <f t="shared" ref="Q42:Q48" si="85">SUM(D42:O42)</f>
        <v>12666.666666666668</v>
      </c>
      <c r="S42" s="2">
        <f t="shared" ref="S42:S47" si="86">O42*102%</f>
        <v>1615</v>
      </c>
      <c r="T42" s="2">
        <f t="shared" ref="T42:Z47" si="87">S42</f>
        <v>1615</v>
      </c>
      <c r="U42" s="2">
        <f t="shared" si="87"/>
        <v>1615</v>
      </c>
      <c r="V42" s="2">
        <f t="shared" si="87"/>
        <v>1615</v>
      </c>
      <c r="W42" s="2">
        <f t="shared" si="87"/>
        <v>1615</v>
      </c>
      <c r="X42" s="2">
        <f t="shared" si="87"/>
        <v>1615</v>
      </c>
      <c r="Y42" s="2">
        <f t="shared" si="87"/>
        <v>1615</v>
      </c>
      <c r="Z42" s="2">
        <f t="shared" si="87"/>
        <v>1615</v>
      </c>
      <c r="AA42" s="2">
        <f t="shared" ref="AA42:AD42" si="88">Z42</f>
        <v>1615</v>
      </c>
      <c r="AB42" s="2">
        <f t="shared" si="88"/>
        <v>1615</v>
      </c>
      <c r="AC42" s="2">
        <f t="shared" si="88"/>
        <v>1615</v>
      </c>
      <c r="AD42" s="2">
        <f t="shared" si="88"/>
        <v>1615</v>
      </c>
      <c r="AE42" s="9">
        <f t="shared" ref="AE42:AE47" si="89">SUM(S42:AD42)</f>
        <v>19380</v>
      </c>
      <c r="AG42" s="2">
        <f t="shared" ref="AG42:AG48" si="90">AC42*102%</f>
        <v>1647.3</v>
      </c>
      <c r="AH42" s="2">
        <f t="shared" ref="AH42:AH48" si="91">AG42</f>
        <v>1647.3</v>
      </c>
      <c r="AI42" s="2">
        <f t="shared" si="76"/>
        <v>1647.3</v>
      </c>
      <c r="AJ42" s="2">
        <f t="shared" si="77"/>
        <v>1647.3</v>
      </c>
      <c r="AK42" s="2">
        <f t="shared" si="78"/>
        <v>1647.3</v>
      </c>
      <c r="AL42" s="2">
        <f t="shared" si="79"/>
        <v>1647.3</v>
      </c>
      <c r="AM42" s="2">
        <f t="shared" si="80"/>
        <v>1647.3</v>
      </c>
      <c r="AN42" s="2">
        <f t="shared" si="81"/>
        <v>1647.3</v>
      </c>
      <c r="AO42" s="2">
        <f t="shared" ref="AO42:AO48" si="92">AN42</f>
        <v>1647.3</v>
      </c>
      <c r="AP42" s="2">
        <f t="shared" si="82"/>
        <v>1647.3</v>
      </c>
      <c r="AQ42" s="2">
        <f t="shared" si="83"/>
        <v>1647.3</v>
      </c>
      <c r="AR42" s="2">
        <f t="shared" si="84"/>
        <v>1647.3</v>
      </c>
      <c r="AS42" s="9">
        <f t="shared" ref="AS42:AS48" si="93">SUM(AG42:AR42)</f>
        <v>19767.599999999995</v>
      </c>
    </row>
    <row r="43" spans="1:45" x14ac:dyDescent="0.2">
      <c r="A43" t="s">
        <v>189</v>
      </c>
      <c r="B43" s="2">
        <f>'Transition min '!C4</f>
        <v>63000</v>
      </c>
      <c r="C43" s="2" t="s">
        <v>194</v>
      </c>
      <c r="F43" s="2"/>
      <c r="G43" s="2">
        <f t="shared" si="73"/>
        <v>5250</v>
      </c>
      <c r="H43" s="2">
        <f t="shared" si="73"/>
        <v>5250</v>
      </c>
      <c r="I43" s="2">
        <f t="shared" si="73"/>
        <v>5250</v>
      </c>
      <c r="J43" s="2">
        <f t="shared" si="73"/>
        <v>5250</v>
      </c>
      <c r="K43" s="2">
        <f t="shared" si="73"/>
        <v>5250</v>
      </c>
      <c r="L43" s="2">
        <f t="shared" si="73"/>
        <v>5250</v>
      </c>
      <c r="M43" s="2">
        <f t="shared" si="73"/>
        <v>5250</v>
      </c>
      <c r="N43" s="2">
        <f t="shared" si="73"/>
        <v>5250</v>
      </c>
      <c r="O43" s="2">
        <f t="shared" si="73"/>
        <v>5250</v>
      </c>
      <c r="Q43" s="9">
        <f t="shared" si="85"/>
        <v>47250</v>
      </c>
      <c r="S43" s="2">
        <f t="shared" si="86"/>
        <v>5355</v>
      </c>
      <c r="T43" s="2">
        <f t="shared" si="87"/>
        <v>5355</v>
      </c>
      <c r="U43" s="2">
        <f t="shared" si="87"/>
        <v>5355</v>
      </c>
      <c r="V43" s="2">
        <f t="shared" si="87"/>
        <v>5355</v>
      </c>
      <c r="W43" s="2">
        <f t="shared" si="87"/>
        <v>5355</v>
      </c>
      <c r="X43" s="2">
        <f t="shared" si="87"/>
        <v>5355</v>
      </c>
      <c r="Y43" s="2">
        <f t="shared" si="87"/>
        <v>5355</v>
      </c>
      <c r="Z43" s="2">
        <f t="shared" si="87"/>
        <v>5355</v>
      </c>
      <c r="AA43" s="2">
        <f t="shared" ref="AA43:AD43" si="94">Z43</f>
        <v>5355</v>
      </c>
      <c r="AB43" s="2">
        <f t="shared" si="94"/>
        <v>5355</v>
      </c>
      <c r="AC43" s="2">
        <f t="shared" si="94"/>
        <v>5355</v>
      </c>
      <c r="AD43" s="2">
        <f t="shared" si="94"/>
        <v>5355</v>
      </c>
      <c r="AE43" s="9">
        <f t="shared" si="89"/>
        <v>64260</v>
      </c>
      <c r="AG43" s="2">
        <f t="shared" si="90"/>
        <v>5462.1</v>
      </c>
      <c r="AH43" s="2">
        <f t="shared" si="91"/>
        <v>5462.1</v>
      </c>
      <c r="AI43" s="2">
        <f t="shared" si="76"/>
        <v>5462.1</v>
      </c>
      <c r="AJ43" s="2">
        <f t="shared" si="77"/>
        <v>5462.1</v>
      </c>
      <c r="AK43" s="2">
        <f t="shared" si="78"/>
        <v>5462.1</v>
      </c>
      <c r="AL43" s="2">
        <f t="shared" si="79"/>
        <v>5462.1</v>
      </c>
      <c r="AM43" s="2">
        <f t="shared" si="80"/>
        <v>5462.1</v>
      </c>
      <c r="AN43" s="2">
        <f t="shared" si="81"/>
        <v>5462.1</v>
      </c>
      <c r="AO43" s="2">
        <f t="shared" si="92"/>
        <v>5462.1</v>
      </c>
      <c r="AP43" s="2">
        <f t="shared" si="82"/>
        <v>5462.1</v>
      </c>
      <c r="AQ43" s="2">
        <f t="shared" si="83"/>
        <v>5462.1</v>
      </c>
      <c r="AR43" s="2">
        <f t="shared" si="84"/>
        <v>5462.1</v>
      </c>
      <c r="AS43" s="9">
        <f t="shared" si="93"/>
        <v>65545.2</v>
      </c>
    </row>
    <row r="44" spans="1:45" x14ac:dyDescent="0.2">
      <c r="A44" t="s">
        <v>125</v>
      </c>
      <c r="B44" s="2">
        <v>25000</v>
      </c>
      <c r="C44" s="2" t="s">
        <v>144</v>
      </c>
      <c r="F44" s="2"/>
      <c r="G44" s="2">
        <f>30000/12</f>
        <v>2500</v>
      </c>
      <c r="H44" s="2">
        <f>$B44/12</f>
        <v>2083.3333333333335</v>
      </c>
      <c r="I44" s="2">
        <f t="shared" si="73"/>
        <v>2083.3333333333335</v>
      </c>
      <c r="J44" s="2">
        <f t="shared" si="73"/>
        <v>2083.3333333333335</v>
      </c>
      <c r="K44" s="2">
        <f t="shared" si="73"/>
        <v>2083.3333333333335</v>
      </c>
      <c r="L44" s="2">
        <f t="shared" si="73"/>
        <v>2083.3333333333335</v>
      </c>
      <c r="M44" s="2">
        <f t="shared" si="73"/>
        <v>2083.3333333333335</v>
      </c>
      <c r="N44" s="2">
        <f t="shared" si="73"/>
        <v>2083.3333333333335</v>
      </c>
      <c r="O44" s="2">
        <f t="shared" si="73"/>
        <v>2083.3333333333335</v>
      </c>
      <c r="Q44" s="9">
        <f t="shared" si="85"/>
        <v>19166.666666666668</v>
      </c>
      <c r="S44" s="2">
        <f t="shared" si="86"/>
        <v>2125</v>
      </c>
      <c r="T44" s="2">
        <f t="shared" si="87"/>
        <v>2125</v>
      </c>
      <c r="U44" s="2">
        <f t="shared" si="87"/>
        <v>2125</v>
      </c>
      <c r="V44" s="2">
        <f t="shared" si="87"/>
        <v>2125</v>
      </c>
      <c r="W44" s="2">
        <f t="shared" si="87"/>
        <v>2125</v>
      </c>
      <c r="X44" s="2">
        <f t="shared" si="87"/>
        <v>2125</v>
      </c>
      <c r="Y44" s="2">
        <f t="shared" si="87"/>
        <v>2125</v>
      </c>
      <c r="Z44" s="2">
        <f t="shared" si="87"/>
        <v>2125</v>
      </c>
      <c r="AA44" s="2">
        <f t="shared" ref="AA44:AD44" si="95">Z44</f>
        <v>2125</v>
      </c>
      <c r="AB44" s="2">
        <f t="shared" si="95"/>
        <v>2125</v>
      </c>
      <c r="AC44" s="2">
        <f t="shared" si="95"/>
        <v>2125</v>
      </c>
      <c r="AD44" s="2">
        <f t="shared" si="95"/>
        <v>2125</v>
      </c>
      <c r="AE44" s="9">
        <f t="shared" si="89"/>
        <v>25500</v>
      </c>
      <c r="AG44" s="2">
        <f t="shared" si="90"/>
        <v>2167.5</v>
      </c>
      <c r="AH44" s="2">
        <f t="shared" si="91"/>
        <v>2167.5</v>
      </c>
      <c r="AI44" s="2">
        <f t="shared" si="76"/>
        <v>2167.5</v>
      </c>
      <c r="AJ44" s="2">
        <f t="shared" si="77"/>
        <v>2167.5</v>
      </c>
      <c r="AK44" s="2">
        <f t="shared" si="78"/>
        <v>2167.5</v>
      </c>
      <c r="AL44" s="2">
        <f t="shared" si="79"/>
        <v>2167.5</v>
      </c>
      <c r="AM44" s="2">
        <f t="shared" si="80"/>
        <v>2167.5</v>
      </c>
      <c r="AN44" s="2">
        <f t="shared" si="81"/>
        <v>2167.5</v>
      </c>
      <c r="AO44" s="2">
        <f t="shared" si="92"/>
        <v>2167.5</v>
      </c>
      <c r="AP44" s="2">
        <f t="shared" si="82"/>
        <v>2167.5</v>
      </c>
      <c r="AQ44" s="2">
        <f t="shared" si="83"/>
        <v>2167.5</v>
      </c>
      <c r="AR44" s="2">
        <f t="shared" si="84"/>
        <v>2167.5</v>
      </c>
      <c r="AS44" s="9">
        <f t="shared" si="93"/>
        <v>26010</v>
      </c>
    </row>
    <row r="45" spans="1:45" x14ac:dyDescent="0.2">
      <c r="A45" t="s">
        <v>126</v>
      </c>
      <c r="B45" s="2">
        <v>24000</v>
      </c>
      <c r="C45" t="s">
        <v>226</v>
      </c>
      <c r="F45" s="2"/>
      <c r="G45" s="2">
        <f t="shared" ref="G45:H45" si="96">$B45/12</f>
        <v>2000</v>
      </c>
      <c r="H45" s="2">
        <f t="shared" si="96"/>
        <v>2000</v>
      </c>
      <c r="I45" s="2">
        <f t="shared" si="73"/>
        <v>2000</v>
      </c>
      <c r="J45" s="2">
        <f t="shared" si="73"/>
        <v>2000</v>
      </c>
      <c r="K45" s="2">
        <f t="shared" si="73"/>
        <v>2000</v>
      </c>
      <c r="L45" s="2">
        <f>$B45/24</f>
        <v>1000</v>
      </c>
      <c r="M45" s="2">
        <f t="shared" ref="M45:O45" si="97">$B45/24</f>
        <v>1000</v>
      </c>
      <c r="N45" s="2">
        <f t="shared" si="97"/>
        <v>1000</v>
      </c>
      <c r="O45" s="2">
        <f t="shared" si="97"/>
        <v>1000</v>
      </c>
      <c r="Q45" s="9">
        <f t="shared" si="85"/>
        <v>14000</v>
      </c>
      <c r="S45" s="2">
        <f t="shared" si="86"/>
        <v>1020</v>
      </c>
      <c r="T45" s="2">
        <f t="shared" si="87"/>
        <v>1020</v>
      </c>
      <c r="U45" s="2">
        <f t="shared" si="87"/>
        <v>1020</v>
      </c>
      <c r="V45" s="2">
        <f t="shared" si="87"/>
        <v>1020</v>
      </c>
      <c r="W45" s="2">
        <f t="shared" si="87"/>
        <v>1020</v>
      </c>
      <c r="X45" s="2">
        <f t="shared" si="87"/>
        <v>1020</v>
      </c>
      <c r="Y45" s="2">
        <f t="shared" si="87"/>
        <v>1020</v>
      </c>
      <c r="Z45" s="2">
        <f t="shared" si="87"/>
        <v>1020</v>
      </c>
      <c r="AA45" s="2">
        <f t="shared" ref="AA45:AD45" si="98">Z45</f>
        <v>1020</v>
      </c>
      <c r="AB45" s="2">
        <f t="shared" si="98"/>
        <v>1020</v>
      </c>
      <c r="AC45" s="2">
        <f t="shared" si="98"/>
        <v>1020</v>
      </c>
      <c r="AD45" s="2">
        <f t="shared" si="98"/>
        <v>1020</v>
      </c>
      <c r="AE45" s="9">
        <f t="shared" si="89"/>
        <v>12240</v>
      </c>
      <c r="AG45" s="2">
        <f t="shared" si="90"/>
        <v>1040.4000000000001</v>
      </c>
      <c r="AH45" s="2">
        <f t="shared" si="91"/>
        <v>1040.4000000000001</v>
      </c>
      <c r="AI45" s="2">
        <f t="shared" si="76"/>
        <v>1040.4000000000001</v>
      </c>
      <c r="AJ45" s="2">
        <f t="shared" si="77"/>
        <v>1040.4000000000001</v>
      </c>
      <c r="AK45" s="2">
        <f t="shared" si="78"/>
        <v>1040.4000000000001</v>
      </c>
      <c r="AL45" s="2">
        <f t="shared" si="79"/>
        <v>1040.4000000000001</v>
      </c>
      <c r="AM45" s="2">
        <f t="shared" si="80"/>
        <v>1040.4000000000001</v>
      </c>
      <c r="AN45" s="2">
        <f t="shared" si="81"/>
        <v>1040.4000000000001</v>
      </c>
      <c r="AO45" s="2">
        <f t="shared" si="92"/>
        <v>1040.4000000000001</v>
      </c>
      <c r="AP45" s="2">
        <f t="shared" si="82"/>
        <v>1040.4000000000001</v>
      </c>
      <c r="AQ45" s="2">
        <f t="shared" si="83"/>
        <v>1040.4000000000001</v>
      </c>
      <c r="AR45" s="2">
        <f t="shared" si="84"/>
        <v>1040.4000000000001</v>
      </c>
      <c r="AS45" s="9">
        <f t="shared" si="93"/>
        <v>12484.799999999997</v>
      </c>
    </row>
    <row r="46" spans="1:45" x14ac:dyDescent="0.2">
      <c r="A46" t="s">
        <v>122</v>
      </c>
      <c r="B46" s="2">
        <f>'Transition min '!C7</f>
        <v>35000</v>
      </c>
      <c r="C46" t="s">
        <v>193</v>
      </c>
      <c r="F46" s="2"/>
      <c r="G46" s="2">
        <f t="shared" ref="G46:O47" si="99">$B46/12</f>
        <v>2916.6666666666665</v>
      </c>
      <c r="H46" s="2">
        <f t="shared" si="99"/>
        <v>2916.6666666666665</v>
      </c>
      <c r="I46" s="2">
        <f t="shared" si="99"/>
        <v>2916.6666666666665</v>
      </c>
      <c r="J46" s="2">
        <f t="shared" si="99"/>
        <v>2916.6666666666665</v>
      </c>
      <c r="K46" s="2">
        <f t="shared" si="99"/>
        <v>2916.6666666666665</v>
      </c>
      <c r="L46" s="2">
        <f t="shared" si="99"/>
        <v>2916.6666666666665</v>
      </c>
      <c r="M46" s="2">
        <f t="shared" si="99"/>
        <v>2916.6666666666665</v>
      </c>
      <c r="N46" s="2">
        <f t="shared" si="99"/>
        <v>2916.6666666666665</v>
      </c>
      <c r="O46" s="2">
        <f t="shared" si="99"/>
        <v>2916.6666666666665</v>
      </c>
      <c r="Q46" s="9">
        <f t="shared" si="85"/>
        <v>26250.000000000004</v>
      </c>
      <c r="S46" s="2">
        <f t="shared" si="86"/>
        <v>2975</v>
      </c>
      <c r="T46" s="2">
        <f t="shared" si="87"/>
        <v>2975</v>
      </c>
      <c r="U46" s="2">
        <f t="shared" si="87"/>
        <v>2975</v>
      </c>
      <c r="V46" s="2">
        <f t="shared" si="87"/>
        <v>2975</v>
      </c>
      <c r="W46" s="2">
        <f t="shared" si="87"/>
        <v>2975</v>
      </c>
      <c r="X46" s="2">
        <f t="shared" si="87"/>
        <v>2975</v>
      </c>
      <c r="Y46" s="2">
        <f t="shared" si="87"/>
        <v>2975</v>
      </c>
      <c r="Z46" s="2">
        <f t="shared" si="87"/>
        <v>2975</v>
      </c>
      <c r="AA46" s="2">
        <f t="shared" ref="AA46:AD46" si="100">Z46</f>
        <v>2975</v>
      </c>
      <c r="AB46" s="2">
        <f t="shared" si="100"/>
        <v>2975</v>
      </c>
      <c r="AC46" s="2">
        <f t="shared" si="100"/>
        <v>2975</v>
      </c>
      <c r="AD46" s="2">
        <f t="shared" si="100"/>
        <v>2975</v>
      </c>
      <c r="AE46" s="9">
        <f t="shared" si="89"/>
        <v>35700</v>
      </c>
      <c r="AG46" s="2">
        <f t="shared" si="90"/>
        <v>3034.5</v>
      </c>
      <c r="AH46" s="2">
        <f t="shared" si="91"/>
        <v>3034.5</v>
      </c>
      <c r="AI46" s="2">
        <f t="shared" si="76"/>
        <v>3034.5</v>
      </c>
      <c r="AJ46" s="2">
        <f t="shared" si="77"/>
        <v>3034.5</v>
      </c>
      <c r="AK46" s="2">
        <f t="shared" si="78"/>
        <v>3034.5</v>
      </c>
      <c r="AL46" s="2">
        <f t="shared" si="79"/>
        <v>3034.5</v>
      </c>
      <c r="AM46" s="2">
        <f t="shared" si="80"/>
        <v>3034.5</v>
      </c>
      <c r="AN46" s="2">
        <f t="shared" si="81"/>
        <v>3034.5</v>
      </c>
      <c r="AO46" s="2">
        <f t="shared" si="92"/>
        <v>3034.5</v>
      </c>
      <c r="AP46" s="2">
        <f t="shared" si="82"/>
        <v>3034.5</v>
      </c>
      <c r="AQ46" s="2">
        <f t="shared" si="83"/>
        <v>3034.5</v>
      </c>
      <c r="AR46" s="2">
        <f t="shared" si="84"/>
        <v>3034.5</v>
      </c>
      <c r="AS46" s="9">
        <f t="shared" si="93"/>
        <v>36414</v>
      </c>
    </row>
    <row r="47" spans="1:45" x14ac:dyDescent="0.2">
      <c r="A47" t="s">
        <v>222</v>
      </c>
      <c r="B47" s="2">
        <f>'Transition min '!C8+15000</f>
        <v>39000</v>
      </c>
      <c r="C47" t="s">
        <v>223</v>
      </c>
      <c r="F47" s="2"/>
      <c r="G47" s="2">
        <f t="shared" si="99"/>
        <v>3250</v>
      </c>
      <c r="H47" s="2">
        <f t="shared" si="99"/>
        <v>3250</v>
      </c>
      <c r="I47" s="2">
        <f t="shared" si="99"/>
        <v>3250</v>
      </c>
      <c r="J47" s="2">
        <f t="shared" si="99"/>
        <v>3250</v>
      </c>
      <c r="K47" s="2">
        <f t="shared" si="99"/>
        <v>3250</v>
      </c>
      <c r="L47" s="2">
        <f t="shared" si="99"/>
        <v>3250</v>
      </c>
      <c r="M47" s="2">
        <f t="shared" si="99"/>
        <v>3250</v>
      </c>
      <c r="N47" s="2">
        <f t="shared" si="99"/>
        <v>3250</v>
      </c>
      <c r="O47" s="2">
        <f t="shared" si="99"/>
        <v>3250</v>
      </c>
      <c r="Q47" s="9">
        <f t="shared" si="85"/>
        <v>29250</v>
      </c>
      <c r="S47" s="2">
        <f t="shared" si="86"/>
        <v>3315</v>
      </c>
      <c r="T47" s="2">
        <f t="shared" si="87"/>
        <v>3315</v>
      </c>
      <c r="U47" s="2">
        <f t="shared" si="87"/>
        <v>3315</v>
      </c>
      <c r="V47" s="2">
        <f t="shared" si="87"/>
        <v>3315</v>
      </c>
      <c r="W47" s="2">
        <f t="shared" si="87"/>
        <v>3315</v>
      </c>
      <c r="X47" s="2">
        <f t="shared" si="87"/>
        <v>3315</v>
      </c>
      <c r="Y47" s="2">
        <f t="shared" si="87"/>
        <v>3315</v>
      </c>
      <c r="Z47" s="2">
        <f t="shared" si="87"/>
        <v>3315</v>
      </c>
      <c r="AA47" s="2">
        <f t="shared" ref="AA47:AD47" si="101">Z47</f>
        <v>3315</v>
      </c>
      <c r="AB47" s="2">
        <f t="shared" si="101"/>
        <v>3315</v>
      </c>
      <c r="AC47" s="2">
        <f t="shared" si="101"/>
        <v>3315</v>
      </c>
      <c r="AD47" s="2">
        <f t="shared" si="101"/>
        <v>3315</v>
      </c>
      <c r="AE47" s="9">
        <f t="shared" si="89"/>
        <v>39780</v>
      </c>
      <c r="AG47" s="2">
        <f t="shared" si="90"/>
        <v>3381.3</v>
      </c>
      <c r="AH47" s="2">
        <f t="shared" si="91"/>
        <v>3381.3</v>
      </c>
      <c r="AI47" s="2">
        <f t="shared" si="76"/>
        <v>3381.3</v>
      </c>
      <c r="AJ47" s="2">
        <f t="shared" si="77"/>
        <v>3381.3</v>
      </c>
      <c r="AK47" s="2">
        <f t="shared" si="78"/>
        <v>3381.3</v>
      </c>
      <c r="AL47" s="2">
        <f t="shared" si="79"/>
        <v>3381.3</v>
      </c>
      <c r="AM47" s="2">
        <f t="shared" si="80"/>
        <v>3381.3</v>
      </c>
      <c r="AN47" s="2">
        <f t="shared" si="81"/>
        <v>3381.3</v>
      </c>
      <c r="AO47" s="2">
        <f t="shared" si="92"/>
        <v>3381.3</v>
      </c>
      <c r="AP47" s="2">
        <f t="shared" si="82"/>
        <v>3381.3</v>
      </c>
      <c r="AQ47" s="2">
        <f t="shared" si="83"/>
        <v>3381.3</v>
      </c>
      <c r="AR47" s="2">
        <f t="shared" si="84"/>
        <v>3381.3</v>
      </c>
      <c r="AS47" s="9">
        <f t="shared" si="93"/>
        <v>40575.600000000006</v>
      </c>
    </row>
    <row r="48" spans="1:45" x14ac:dyDescent="0.2">
      <c r="A48" t="s">
        <v>229</v>
      </c>
      <c r="B48" s="2">
        <f>SUM(Q41:Q47)*C48</f>
        <v>26839.166666666672</v>
      </c>
      <c r="C48" s="1">
        <v>0.14000000000000001</v>
      </c>
      <c r="F48" s="2"/>
      <c r="G48" s="2">
        <f t="shared" ref="G48:O48" si="102">SUM(G41:G47)*$C48</f>
        <v>2899.1666666666674</v>
      </c>
      <c r="H48" s="2">
        <f t="shared" si="102"/>
        <v>3062.5000000000005</v>
      </c>
      <c r="I48" s="2">
        <f t="shared" si="102"/>
        <v>3062.5000000000005</v>
      </c>
      <c r="J48" s="2">
        <f t="shared" si="102"/>
        <v>3062.5000000000005</v>
      </c>
      <c r="K48" s="2">
        <f t="shared" si="102"/>
        <v>3062.5000000000005</v>
      </c>
      <c r="L48" s="2">
        <f t="shared" si="102"/>
        <v>2922.5000000000005</v>
      </c>
      <c r="M48" s="2">
        <f t="shared" si="102"/>
        <v>2922.5000000000005</v>
      </c>
      <c r="N48" s="2">
        <f t="shared" si="102"/>
        <v>2922.5000000000005</v>
      </c>
      <c r="O48" s="2">
        <f t="shared" si="102"/>
        <v>2922.5000000000005</v>
      </c>
      <c r="Q48" s="9">
        <f t="shared" si="85"/>
        <v>26839.166666666668</v>
      </c>
      <c r="S48" s="2">
        <f t="shared" ref="S48" si="103">O48*102%</f>
        <v>2980.9500000000007</v>
      </c>
      <c r="T48" s="2">
        <f t="shared" ref="T48" si="104">S48</f>
        <v>2980.9500000000007</v>
      </c>
      <c r="U48" s="2">
        <f t="shared" ref="U48" si="105">T48</f>
        <v>2980.9500000000007</v>
      </c>
      <c r="V48" s="2">
        <f t="shared" ref="V48" si="106">U48</f>
        <v>2980.9500000000007</v>
      </c>
      <c r="W48" s="2">
        <f t="shared" ref="W48" si="107">V48</f>
        <v>2980.9500000000007</v>
      </c>
      <c r="X48" s="2">
        <f t="shared" ref="X48" si="108">W48</f>
        <v>2980.9500000000007</v>
      </c>
      <c r="Y48" s="2">
        <f t="shared" ref="Y48" si="109">X48</f>
        <v>2980.9500000000007</v>
      </c>
      <c r="Z48" s="2">
        <f t="shared" ref="Z48" si="110">Y48</f>
        <v>2980.9500000000007</v>
      </c>
      <c r="AA48" s="2">
        <f t="shared" ref="AA48" si="111">Z48</f>
        <v>2980.9500000000007</v>
      </c>
      <c r="AB48" s="2">
        <f t="shared" ref="AB48" si="112">AA48</f>
        <v>2980.9500000000007</v>
      </c>
      <c r="AC48" s="2">
        <f t="shared" ref="AC48" si="113">AB48</f>
        <v>2980.9500000000007</v>
      </c>
      <c r="AD48" s="2">
        <f t="shared" ref="AD48" si="114">AC48</f>
        <v>2980.9500000000007</v>
      </c>
      <c r="AE48" s="9">
        <f t="shared" ref="AE48" si="115">SUM(S48:AD48)</f>
        <v>35771.400000000009</v>
      </c>
      <c r="AG48" s="2">
        <f t="shared" si="90"/>
        <v>3040.5690000000009</v>
      </c>
      <c r="AH48" s="2">
        <f t="shared" si="91"/>
        <v>3040.5690000000009</v>
      </c>
      <c r="AI48" s="2">
        <f t="shared" si="76"/>
        <v>3040.5690000000009</v>
      </c>
      <c r="AJ48" s="2">
        <f t="shared" si="77"/>
        <v>3040.5690000000009</v>
      </c>
      <c r="AK48" s="2">
        <f t="shared" si="78"/>
        <v>3040.5690000000009</v>
      </c>
      <c r="AL48" s="2">
        <f t="shared" si="79"/>
        <v>3040.5690000000009</v>
      </c>
      <c r="AM48" s="2">
        <f t="shared" si="80"/>
        <v>3040.5690000000009</v>
      </c>
      <c r="AN48" s="2">
        <f t="shared" si="81"/>
        <v>3040.5690000000009</v>
      </c>
      <c r="AO48" s="2">
        <f t="shared" si="92"/>
        <v>3040.5690000000009</v>
      </c>
      <c r="AP48" s="2">
        <f t="shared" si="82"/>
        <v>3040.5690000000009</v>
      </c>
      <c r="AQ48" s="2">
        <f t="shared" si="83"/>
        <v>3040.5690000000009</v>
      </c>
      <c r="AR48" s="2">
        <f t="shared" si="84"/>
        <v>3040.5690000000009</v>
      </c>
      <c r="AS48" s="9">
        <f t="shared" si="93"/>
        <v>36486.828000000009</v>
      </c>
    </row>
    <row r="49" spans="1:45" ht="8" customHeight="1" x14ac:dyDescent="0.2">
      <c r="B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45" x14ac:dyDescent="0.2">
      <c r="A50" s="3" t="s">
        <v>197</v>
      </c>
      <c r="B50" s="2"/>
      <c r="F50" s="9"/>
      <c r="G50" s="9">
        <f t="shared" ref="G50:L50" si="116">SUM(G41:G49)</f>
        <v>23607.500000000004</v>
      </c>
      <c r="H50" s="9">
        <f t="shared" si="116"/>
        <v>24937.5</v>
      </c>
      <c r="I50" s="9">
        <f t="shared" si="116"/>
        <v>24937.5</v>
      </c>
      <c r="J50" s="9">
        <f t="shared" si="116"/>
        <v>24937.5</v>
      </c>
      <c r="K50" s="9">
        <f t="shared" si="116"/>
        <v>24937.5</v>
      </c>
      <c r="L50" s="9">
        <f t="shared" si="116"/>
        <v>23797.5</v>
      </c>
      <c r="M50" s="9">
        <f t="shared" ref="M50" si="117">SUM(M41:M49)</f>
        <v>23797.5</v>
      </c>
      <c r="N50" s="9">
        <f t="shared" ref="N50" si="118">SUM(N41:N49)</f>
        <v>23797.5</v>
      </c>
      <c r="O50" s="9">
        <f t="shared" ref="O50" si="119">SUM(O41:O49)</f>
        <v>23797.5</v>
      </c>
      <c r="Q50" s="31">
        <f>SUM(Q41:Q49)</f>
        <v>218547.5</v>
      </c>
      <c r="S50" s="9">
        <f>SUM(S41:S49)</f>
        <v>24273.45</v>
      </c>
      <c r="T50" s="9">
        <f t="shared" ref="T50:Z50" si="120">SUM(T41:T49)</f>
        <v>24273.45</v>
      </c>
      <c r="U50" s="9">
        <f t="shared" si="120"/>
        <v>24273.45</v>
      </c>
      <c r="V50" s="9">
        <f t="shared" si="120"/>
        <v>24273.45</v>
      </c>
      <c r="W50" s="9">
        <f t="shared" si="120"/>
        <v>24273.45</v>
      </c>
      <c r="X50" s="9">
        <f t="shared" si="120"/>
        <v>24273.45</v>
      </c>
      <c r="Y50" s="9">
        <f t="shared" si="120"/>
        <v>24273.45</v>
      </c>
      <c r="Z50" s="9">
        <f t="shared" si="120"/>
        <v>24273.45</v>
      </c>
      <c r="AA50" s="9">
        <f>SUM(AA41:AA49)</f>
        <v>24273.45</v>
      </c>
      <c r="AB50" s="9">
        <f t="shared" ref="AB50" si="121">SUM(AB41:AB49)</f>
        <v>24273.45</v>
      </c>
      <c r="AC50" s="9">
        <f t="shared" ref="AC50" si="122">SUM(AC41:AC49)</f>
        <v>24273.45</v>
      </c>
      <c r="AD50" s="9">
        <f t="shared" ref="AD50" si="123">SUM(AD41:AD49)</f>
        <v>24273.45</v>
      </c>
      <c r="AE50" s="9">
        <f>SUM(S50:AD50)</f>
        <v>291281.40000000008</v>
      </c>
      <c r="AG50" s="9">
        <f>SUM(AG41:AG49)</f>
        <v>24758.919000000002</v>
      </c>
      <c r="AH50" s="9">
        <f t="shared" ref="AH50:AN50" si="124">SUM(AH41:AH49)</f>
        <v>24758.919000000002</v>
      </c>
      <c r="AI50" s="9">
        <f t="shared" si="124"/>
        <v>24758.919000000002</v>
      </c>
      <c r="AJ50" s="9">
        <f t="shared" si="124"/>
        <v>24758.919000000002</v>
      </c>
      <c r="AK50" s="9">
        <f t="shared" si="124"/>
        <v>24758.919000000002</v>
      </c>
      <c r="AL50" s="9">
        <f t="shared" si="124"/>
        <v>24758.919000000002</v>
      </c>
      <c r="AM50" s="9">
        <f t="shared" si="124"/>
        <v>24758.919000000002</v>
      </c>
      <c r="AN50" s="9">
        <f t="shared" si="124"/>
        <v>24758.919000000002</v>
      </c>
      <c r="AO50" s="9">
        <f>SUM(AO41:AO49)</f>
        <v>24758.919000000002</v>
      </c>
      <c r="AP50" s="9">
        <f t="shared" ref="AP50:AR50" si="125">SUM(AP41:AP49)</f>
        <v>24758.919000000002</v>
      </c>
      <c r="AQ50" s="9">
        <f t="shared" si="125"/>
        <v>24758.919000000002</v>
      </c>
      <c r="AR50" s="9">
        <f t="shared" si="125"/>
        <v>24758.919000000002</v>
      </c>
      <c r="AS50" s="9">
        <f>SUM(AG50:AR50)</f>
        <v>297107.02799999999</v>
      </c>
    </row>
    <row r="51" spans="1:45" x14ac:dyDescent="0.2">
      <c r="B51" s="2"/>
    </row>
    <row r="52" spans="1:45" x14ac:dyDescent="0.2">
      <c r="A52" s="43" t="s">
        <v>206</v>
      </c>
      <c r="B52" s="2"/>
    </row>
    <row r="53" spans="1:45" x14ac:dyDescent="0.2">
      <c r="A53" s="39" t="s">
        <v>26</v>
      </c>
      <c r="B53" s="2">
        <v>100000</v>
      </c>
      <c r="C53" t="s">
        <v>263</v>
      </c>
      <c r="F53" s="2"/>
      <c r="G53" s="2">
        <v>11000</v>
      </c>
      <c r="H53" s="2">
        <v>11000</v>
      </c>
      <c r="I53" s="2">
        <v>11000</v>
      </c>
      <c r="J53" s="2">
        <v>11000</v>
      </c>
      <c r="K53" s="2">
        <v>11000</v>
      </c>
      <c r="L53" s="2">
        <v>50000</v>
      </c>
      <c r="M53" s="2"/>
      <c r="N53" s="2"/>
      <c r="O53" s="2"/>
      <c r="Q53" s="9">
        <f>SUM(D53:O53)</f>
        <v>105000</v>
      </c>
      <c r="S53" s="2"/>
      <c r="T53" s="2"/>
      <c r="U53" s="2"/>
      <c r="V53" s="2"/>
      <c r="W53" s="2"/>
      <c r="X53" s="2"/>
      <c r="Y53" s="2"/>
      <c r="Z53" s="2"/>
      <c r="AA53" s="2">
        <v>50000</v>
      </c>
      <c r="AB53" s="2"/>
      <c r="AC53" s="2"/>
      <c r="AD53" s="2"/>
      <c r="AE53" s="9">
        <f>SUM(S53:AD53)</f>
        <v>50000</v>
      </c>
      <c r="AG53" s="2"/>
      <c r="AH53" s="2"/>
      <c r="AI53" s="2"/>
      <c r="AJ53" s="2"/>
      <c r="AK53" s="2"/>
      <c r="AL53" s="2"/>
      <c r="AM53" s="2"/>
      <c r="AN53" s="2"/>
      <c r="AO53" s="2">
        <v>50000</v>
      </c>
      <c r="AP53" s="2"/>
      <c r="AQ53" s="2"/>
      <c r="AR53" s="2"/>
      <c r="AS53" s="9">
        <f>SUM(AG53:AR53)</f>
        <v>50000</v>
      </c>
    </row>
    <row r="54" spans="1:45" x14ac:dyDescent="0.2">
      <c r="A54" s="39" t="s">
        <v>216</v>
      </c>
      <c r="B54" s="2">
        <v>35000</v>
      </c>
      <c r="F54" s="2"/>
      <c r="G54" s="2">
        <f t="shared" ref="G54:L54" si="126">$B54/12</f>
        <v>2916.6666666666665</v>
      </c>
      <c r="H54" s="2">
        <f t="shared" si="126"/>
        <v>2916.6666666666665</v>
      </c>
      <c r="I54" s="2">
        <f t="shared" si="126"/>
        <v>2916.6666666666665</v>
      </c>
      <c r="J54" s="2">
        <f t="shared" si="126"/>
        <v>2916.6666666666665</v>
      </c>
      <c r="K54" s="2">
        <f t="shared" si="126"/>
        <v>2916.6666666666665</v>
      </c>
      <c r="L54" s="2">
        <f t="shared" si="126"/>
        <v>2916.6666666666665</v>
      </c>
      <c r="M54" s="2">
        <f t="shared" ref="M54:O56" si="127">$B54/12</f>
        <v>2916.6666666666665</v>
      </c>
      <c r="N54" s="2">
        <f t="shared" si="127"/>
        <v>2916.6666666666665</v>
      </c>
      <c r="O54" s="2">
        <f t="shared" si="127"/>
        <v>2916.6666666666665</v>
      </c>
      <c r="Q54" s="9">
        <f>SUM(D54:O54)</f>
        <v>26250.000000000004</v>
      </c>
      <c r="S54" s="2">
        <f>O54*102%</f>
        <v>2975</v>
      </c>
      <c r="T54" s="2">
        <f>S54</f>
        <v>2975</v>
      </c>
      <c r="U54" s="2">
        <f t="shared" ref="U54:AA54" si="128">T54</f>
        <v>2975</v>
      </c>
      <c r="V54" s="2">
        <f t="shared" si="128"/>
        <v>2975</v>
      </c>
      <c r="W54" s="2">
        <f t="shared" si="128"/>
        <v>2975</v>
      </c>
      <c r="X54" s="2">
        <f t="shared" si="128"/>
        <v>2975</v>
      </c>
      <c r="Y54" s="2">
        <f t="shared" si="128"/>
        <v>2975</v>
      </c>
      <c r="Z54" s="2">
        <f t="shared" si="128"/>
        <v>2975</v>
      </c>
      <c r="AA54" s="2">
        <f t="shared" si="128"/>
        <v>2975</v>
      </c>
      <c r="AB54" s="2">
        <f>AA54</f>
        <v>2975</v>
      </c>
      <c r="AC54" s="2">
        <f t="shared" ref="AC54:AD54" si="129">AB54</f>
        <v>2975</v>
      </c>
      <c r="AD54" s="2">
        <f t="shared" si="129"/>
        <v>2975</v>
      </c>
      <c r="AE54" s="9">
        <f t="shared" ref="AE54:AE57" si="130">SUM(S54:AD54)</f>
        <v>35700</v>
      </c>
      <c r="AG54" s="2">
        <f>AC54*102%</f>
        <v>3034.5</v>
      </c>
      <c r="AH54" s="2">
        <f>AG54</f>
        <v>3034.5</v>
      </c>
      <c r="AI54" s="2">
        <f t="shared" ref="AI54:AI57" si="131">AH54</f>
        <v>3034.5</v>
      </c>
      <c r="AJ54" s="2">
        <f t="shared" ref="AJ54:AJ57" si="132">AI54</f>
        <v>3034.5</v>
      </c>
      <c r="AK54" s="2">
        <f t="shared" ref="AK54:AK57" si="133">AJ54</f>
        <v>3034.5</v>
      </c>
      <c r="AL54" s="2">
        <f t="shared" ref="AL54:AL57" si="134">AK54</f>
        <v>3034.5</v>
      </c>
      <c r="AM54" s="2">
        <f t="shared" ref="AM54:AM57" si="135">AL54</f>
        <v>3034.5</v>
      </c>
      <c r="AN54" s="2">
        <f t="shared" ref="AN54:AN57" si="136">AM54</f>
        <v>3034.5</v>
      </c>
      <c r="AO54" s="2">
        <f t="shared" ref="AO54:AO57" si="137">AN54</f>
        <v>3034.5</v>
      </c>
      <c r="AP54" s="2">
        <f>AO54</f>
        <v>3034.5</v>
      </c>
      <c r="AQ54" s="2">
        <f t="shared" ref="AQ54:AQ57" si="138">AP54</f>
        <v>3034.5</v>
      </c>
      <c r="AR54" s="2">
        <f t="shared" ref="AR54:AR57" si="139">AQ54</f>
        <v>3034.5</v>
      </c>
      <c r="AS54" s="9">
        <f t="shared" ref="AS54:AS57" si="140">SUM(AG54:AR54)</f>
        <v>36414</v>
      </c>
    </row>
    <row r="55" spans="1:45" x14ac:dyDescent="0.2">
      <c r="A55" s="39" t="s">
        <v>215</v>
      </c>
      <c r="B55" s="2">
        <v>3421</v>
      </c>
      <c r="F55" s="2"/>
      <c r="G55" s="2">
        <f t="shared" ref="G55:L56" si="141">$B55/12</f>
        <v>285.08333333333331</v>
      </c>
      <c r="H55" s="2">
        <f t="shared" si="141"/>
        <v>285.08333333333331</v>
      </c>
      <c r="I55" s="2">
        <f t="shared" si="141"/>
        <v>285.08333333333331</v>
      </c>
      <c r="J55" s="2">
        <f t="shared" si="141"/>
        <v>285.08333333333331</v>
      </c>
      <c r="K55" s="2">
        <f t="shared" si="141"/>
        <v>285.08333333333331</v>
      </c>
      <c r="L55" s="2">
        <f t="shared" si="141"/>
        <v>285.08333333333331</v>
      </c>
      <c r="M55" s="2">
        <f t="shared" si="127"/>
        <v>285.08333333333331</v>
      </c>
      <c r="N55" s="2">
        <f t="shared" si="127"/>
        <v>285.08333333333331</v>
      </c>
      <c r="O55" s="2">
        <f t="shared" si="127"/>
        <v>285.08333333333331</v>
      </c>
      <c r="Q55" s="9">
        <f t="shared" ref="Q55:Q57" si="142">SUM(D55:O55)</f>
        <v>2565.75</v>
      </c>
      <c r="S55" s="7">
        <f>O55*102%</f>
        <v>290.78499999999997</v>
      </c>
      <c r="T55" s="2">
        <f t="shared" ref="T55:AA57" si="143">S55</f>
        <v>290.78499999999997</v>
      </c>
      <c r="U55" s="2">
        <f t="shared" si="143"/>
        <v>290.78499999999997</v>
      </c>
      <c r="V55" s="2">
        <f t="shared" si="143"/>
        <v>290.78499999999997</v>
      </c>
      <c r="W55" s="2">
        <f t="shared" si="143"/>
        <v>290.78499999999997</v>
      </c>
      <c r="X55" s="2">
        <f t="shared" si="143"/>
        <v>290.78499999999997</v>
      </c>
      <c r="Y55" s="2">
        <f t="shared" si="143"/>
        <v>290.78499999999997</v>
      </c>
      <c r="Z55" s="2">
        <f t="shared" si="143"/>
        <v>290.78499999999997</v>
      </c>
      <c r="AA55" s="2">
        <f t="shared" si="143"/>
        <v>290.78499999999997</v>
      </c>
      <c r="AB55" s="2">
        <f t="shared" ref="AB55:AD55" si="144">AA55</f>
        <v>290.78499999999997</v>
      </c>
      <c r="AC55" s="2">
        <f t="shared" si="144"/>
        <v>290.78499999999997</v>
      </c>
      <c r="AD55" s="2">
        <f t="shared" si="144"/>
        <v>290.78499999999997</v>
      </c>
      <c r="AE55" s="9">
        <f t="shared" si="130"/>
        <v>3489.4199999999987</v>
      </c>
      <c r="AG55" s="7">
        <f>AC55*102%</f>
        <v>296.60069999999996</v>
      </c>
      <c r="AH55" s="2">
        <f t="shared" ref="AH55:AH57" si="145">AG55</f>
        <v>296.60069999999996</v>
      </c>
      <c r="AI55" s="2">
        <f t="shared" si="131"/>
        <v>296.60069999999996</v>
      </c>
      <c r="AJ55" s="2">
        <f t="shared" si="132"/>
        <v>296.60069999999996</v>
      </c>
      <c r="AK55" s="2">
        <f t="shared" si="133"/>
        <v>296.60069999999996</v>
      </c>
      <c r="AL55" s="2">
        <f t="shared" si="134"/>
        <v>296.60069999999996</v>
      </c>
      <c r="AM55" s="2">
        <f t="shared" si="135"/>
        <v>296.60069999999996</v>
      </c>
      <c r="AN55" s="2">
        <f t="shared" si="136"/>
        <v>296.60069999999996</v>
      </c>
      <c r="AO55" s="2">
        <f t="shared" si="137"/>
        <v>296.60069999999996</v>
      </c>
      <c r="AP55" s="2">
        <f t="shared" ref="AP55:AP57" si="146">AO55</f>
        <v>296.60069999999996</v>
      </c>
      <c r="AQ55" s="2">
        <f t="shared" si="138"/>
        <v>296.60069999999996</v>
      </c>
      <c r="AR55" s="2">
        <f t="shared" si="139"/>
        <v>296.60069999999996</v>
      </c>
      <c r="AS55" s="9">
        <f t="shared" si="140"/>
        <v>3559.2083999999995</v>
      </c>
    </row>
    <row r="56" spans="1:45" x14ac:dyDescent="0.2">
      <c r="A56" s="39" t="s">
        <v>207</v>
      </c>
      <c r="B56" s="2">
        <v>65000</v>
      </c>
      <c r="F56" s="2"/>
      <c r="G56" s="2">
        <f t="shared" si="141"/>
        <v>5416.666666666667</v>
      </c>
      <c r="H56" s="2">
        <f t="shared" si="141"/>
        <v>5416.666666666667</v>
      </c>
      <c r="I56" s="2">
        <f t="shared" si="141"/>
        <v>5416.666666666667</v>
      </c>
      <c r="J56" s="2">
        <f t="shared" si="141"/>
        <v>5416.666666666667</v>
      </c>
      <c r="K56" s="2">
        <f t="shared" si="141"/>
        <v>5416.666666666667</v>
      </c>
      <c r="L56" s="2">
        <f t="shared" si="141"/>
        <v>5416.666666666667</v>
      </c>
      <c r="M56" s="2">
        <f t="shared" si="127"/>
        <v>5416.666666666667</v>
      </c>
      <c r="N56" s="2">
        <f t="shared" si="127"/>
        <v>5416.666666666667</v>
      </c>
      <c r="O56" s="2">
        <f t="shared" si="127"/>
        <v>5416.666666666667</v>
      </c>
      <c r="Q56" s="9">
        <f t="shared" si="142"/>
        <v>48750</v>
      </c>
      <c r="S56" s="2">
        <f>O56*102%</f>
        <v>5525</v>
      </c>
      <c r="T56" s="2">
        <f t="shared" si="143"/>
        <v>5525</v>
      </c>
      <c r="U56" s="2">
        <f t="shared" si="143"/>
        <v>5525</v>
      </c>
      <c r="V56" s="2">
        <f t="shared" si="143"/>
        <v>5525</v>
      </c>
      <c r="W56" s="2">
        <f t="shared" si="143"/>
        <v>5525</v>
      </c>
      <c r="X56" s="2">
        <f t="shared" si="143"/>
        <v>5525</v>
      </c>
      <c r="Y56" s="2">
        <f t="shared" si="143"/>
        <v>5525</v>
      </c>
      <c r="Z56" s="2">
        <f t="shared" si="143"/>
        <v>5525</v>
      </c>
      <c r="AA56" s="2">
        <f t="shared" si="143"/>
        <v>5525</v>
      </c>
      <c r="AB56" s="2">
        <f t="shared" ref="AB56:AD56" si="147">AA56</f>
        <v>5525</v>
      </c>
      <c r="AC56" s="2">
        <f t="shared" si="147"/>
        <v>5525</v>
      </c>
      <c r="AD56" s="2">
        <f t="shared" si="147"/>
        <v>5525</v>
      </c>
      <c r="AE56" s="9">
        <f t="shared" si="130"/>
        <v>66300</v>
      </c>
      <c r="AG56" s="2">
        <f>AC56*102%</f>
        <v>5635.5</v>
      </c>
      <c r="AH56" s="2">
        <f t="shared" si="145"/>
        <v>5635.5</v>
      </c>
      <c r="AI56" s="2">
        <f t="shared" si="131"/>
        <v>5635.5</v>
      </c>
      <c r="AJ56" s="2">
        <f t="shared" si="132"/>
        <v>5635.5</v>
      </c>
      <c r="AK56" s="2">
        <f t="shared" si="133"/>
        <v>5635.5</v>
      </c>
      <c r="AL56" s="2">
        <f t="shared" si="134"/>
        <v>5635.5</v>
      </c>
      <c r="AM56" s="2">
        <f t="shared" si="135"/>
        <v>5635.5</v>
      </c>
      <c r="AN56" s="2">
        <f t="shared" si="136"/>
        <v>5635.5</v>
      </c>
      <c r="AO56" s="2">
        <f t="shared" si="137"/>
        <v>5635.5</v>
      </c>
      <c r="AP56" s="2">
        <f t="shared" si="146"/>
        <v>5635.5</v>
      </c>
      <c r="AQ56" s="2">
        <f t="shared" si="138"/>
        <v>5635.5</v>
      </c>
      <c r="AR56" s="2">
        <f t="shared" si="139"/>
        <v>5635.5</v>
      </c>
      <c r="AS56" s="9">
        <f t="shared" si="140"/>
        <v>67626</v>
      </c>
    </row>
    <row r="57" spans="1:45" x14ac:dyDescent="0.2">
      <c r="A57" s="39" t="s">
        <v>208</v>
      </c>
      <c r="B57" s="2">
        <v>65000</v>
      </c>
      <c r="F57" s="2"/>
      <c r="G57" s="2">
        <f t="shared" ref="G57:O57" si="148">$B57*G2</f>
        <v>9750</v>
      </c>
      <c r="H57" s="2">
        <f t="shared" si="148"/>
        <v>11700</v>
      </c>
      <c r="I57" s="2">
        <f t="shared" si="148"/>
        <v>8450</v>
      </c>
      <c r="J57" s="2">
        <f t="shared" si="148"/>
        <v>3900</v>
      </c>
      <c r="K57" s="2">
        <f t="shared" si="148"/>
        <v>1950</v>
      </c>
      <c r="L57" s="2">
        <f t="shared" si="148"/>
        <v>3250</v>
      </c>
      <c r="M57" s="2">
        <f t="shared" si="148"/>
        <v>1300</v>
      </c>
      <c r="N57" s="2">
        <f t="shared" si="148"/>
        <v>1950</v>
      </c>
      <c r="O57" s="2">
        <f t="shared" si="148"/>
        <v>3250</v>
      </c>
      <c r="Q57" s="9">
        <f t="shared" si="142"/>
        <v>45500</v>
      </c>
      <c r="S57" s="2">
        <f>O57*102%</f>
        <v>3315</v>
      </c>
      <c r="T57" s="2">
        <f t="shared" si="143"/>
        <v>3315</v>
      </c>
      <c r="U57" s="2">
        <f t="shared" si="143"/>
        <v>3315</v>
      </c>
      <c r="V57" s="2">
        <f t="shared" si="143"/>
        <v>3315</v>
      </c>
      <c r="W57" s="2">
        <f t="shared" si="143"/>
        <v>3315</v>
      </c>
      <c r="X57" s="2">
        <f t="shared" si="143"/>
        <v>3315</v>
      </c>
      <c r="Y57" s="2">
        <f t="shared" si="143"/>
        <v>3315</v>
      </c>
      <c r="Z57" s="2">
        <f t="shared" si="143"/>
        <v>3315</v>
      </c>
      <c r="AA57" s="2">
        <f t="shared" si="143"/>
        <v>3315</v>
      </c>
      <c r="AB57" s="2">
        <f t="shared" ref="AB57:AD57" si="149">AA57</f>
        <v>3315</v>
      </c>
      <c r="AC57" s="2">
        <f t="shared" si="149"/>
        <v>3315</v>
      </c>
      <c r="AD57" s="2">
        <f t="shared" si="149"/>
        <v>3315</v>
      </c>
      <c r="AE57" s="9">
        <f t="shared" si="130"/>
        <v>39780</v>
      </c>
      <c r="AG57" s="2">
        <f>AC57*102%</f>
        <v>3381.3</v>
      </c>
      <c r="AH57" s="2">
        <f t="shared" si="145"/>
        <v>3381.3</v>
      </c>
      <c r="AI57" s="2">
        <f t="shared" si="131"/>
        <v>3381.3</v>
      </c>
      <c r="AJ57" s="2">
        <f t="shared" si="132"/>
        <v>3381.3</v>
      </c>
      <c r="AK57" s="2">
        <f t="shared" si="133"/>
        <v>3381.3</v>
      </c>
      <c r="AL57" s="2">
        <f t="shared" si="134"/>
        <v>3381.3</v>
      </c>
      <c r="AM57" s="2">
        <f t="shared" si="135"/>
        <v>3381.3</v>
      </c>
      <c r="AN57" s="2">
        <f t="shared" si="136"/>
        <v>3381.3</v>
      </c>
      <c r="AO57" s="2">
        <f t="shared" si="137"/>
        <v>3381.3</v>
      </c>
      <c r="AP57" s="2">
        <f t="shared" si="146"/>
        <v>3381.3</v>
      </c>
      <c r="AQ57" s="2">
        <f t="shared" si="138"/>
        <v>3381.3</v>
      </c>
      <c r="AR57" s="2">
        <f t="shared" si="139"/>
        <v>3381.3</v>
      </c>
      <c r="AS57" s="9">
        <f t="shared" si="140"/>
        <v>40575.600000000006</v>
      </c>
    </row>
    <row r="58" spans="1:45" ht="8" customHeight="1" x14ac:dyDescent="0.2">
      <c r="B58" s="2"/>
    </row>
    <row r="59" spans="1:45" x14ac:dyDescent="0.2">
      <c r="A59" s="3" t="s">
        <v>210</v>
      </c>
      <c r="B59" s="2"/>
      <c r="F59" s="9"/>
      <c r="G59" s="9">
        <f t="shared" ref="G59:L59" si="150">SUM(G53:G58)</f>
        <v>29368.416666666668</v>
      </c>
      <c r="H59" s="9">
        <f t="shared" si="150"/>
        <v>31318.416666666668</v>
      </c>
      <c r="I59" s="9">
        <f t="shared" si="150"/>
        <v>28068.416666666668</v>
      </c>
      <c r="J59" s="9">
        <f t="shared" si="150"/>
        <v>23518.416666666668</v>
      </c>
      <c r="K59" s="9">
        <f t="shared" si="150"/>
        <v>21568.416666666668</v>
      </c>
      <c r="L59" s="9">
        <f t="shared" si="150"/>
        <v>61868.416666666664</v>
      </c>
      <c r="M59" s="9">
        <f t="shared" ref="M59" si="151">SUM(M53:M58)</f>
        <v>9918.4166666666679</v>
      </c>
      <c r="N59" s="9">
        <f t="shared" ref="N59" si="152">SUM(N53:N58)</f>
        <v>10568.416666666668</v>
      </c>
      <c r="O59" s="9">
        <f>SUM(O53:O58)</f>
        <v>11868.416666666668</v>
      </c>
      <c r="Q59" s="31">
        <f>SUM(Q53:Q58)</f>
        <v>228065.75</v>
      </c>
      <c r="S59" s="9">
        <f>SUM(S53:S58)</f>
        <v>12105.785</v>
      </c>
      <c r="T59" s="9">
        <f t="shared" ref="T59:AD59" si="153">SUM(T53:T58)</f>
        <v>12105.785</v>
      </c>
      <c r="U59" s="9">
        <f t="shared" si="153"/>
        <v>12105.785</v>
      </c>
      <c r="V59" s="9">
        <f t="shared" si="153"/>
        <v>12105.785</v>
      </c>
      <c r="W59" s="9">
        <f t="shared" si="153"/>
        <v>12105.785</v>
      </c>
      <c r="X59" s="9">
        <f t="shared" si="153"/>
        <v>12105.785</v>
      </c>
      <c r="Y59" s="9">
        <f t="shared" si="153"/>
        <v>12105.785</v>
      </c>
      <c r="Z59" s="9">
        <f t="shared" si="153"/>
        <v>12105.785</v>
      </c>
      <c r="AA59" s="9">
        <f t="shared" si="153"/>
        <v>62105.785000000003</v>
      </c>
      <c r="AB59" s="9">
        <f t="shared" si="153"/>
        <v>12105.785</v>
      </c>
      <c r="AC59" s="9">
        <f t="shared" si="153"/>
        <v>12105.785</v>
      </c>
      <c r="AD59" s="9">
        <f t="shared" si="153"/>
        <v>12105.785</v>
      </c>
      <c r="AE59" s="9">
        <f>SUM(S59:AD59)</f>
        <v>195269.42</v>
      </c>
      <c r="AG59" s="9">
        <f>SUM(AG53:AG58)</f>
        <v>12347.900699999998</v>
      </c>
      <c r="AH59" s="9">
        <f t="shared" ref="AH59:AR59" si="154">SUM(AH53:AH58)</f>
        <v>12347.900699999998</v>
      </c>
      <c r="AI59" s="9">
        <f t="shared" si="154"/>
        <v>12347.900699999998</v>
      </c>
      <c r="AJ59" s="9">
        <f t="shared" si="154"/>
        <v>12347.900699999998</v>
      </c>
      <c r="AK59" s="9">
        <f t="shared" si="154"/>
        <v>12347.900699999998</v>
      </c>
      <c r="AL59" s="9">
        <f t="shared" si="154"/>
        <v>12347.900699999998</v>
      </c>
      <c r="AM59" s="9">
        <f t="shared" si="154"/>
        <v>12347.900699999998</v>
      </c>
      <c r="AN59" s="9">
        <f t="shared" si="154"/>
        <v>12347.900699999998</v>
      </c>
      <c r="AO59" s="9">
        <f t="shared" si="154"/>
        <v>62347.900700000006</v>
      </c>
      <c r="AP59" s="9">
        <f t="shared" si="154"/>
        <v>12347.900699999998</v>
      </c>
      <c r="AQ59" s="9">
        <f t="shared" si="154"/>
        <v>12347.900699999998</v>
      </c>
      <c r="AR59" s="9">
        <f t="shared" si="154"/>
        <v>12347.900699999998</v>
      </c>
      <c r="AS59" s="9">
        <f>SUM(AG59:AR59)</f>
        <v>198174.80839999998</v>
      </c>
    </row>
    <row r="60" spans="1:45" x14ac:dyDescent="0.2">
      <c r="B60" s="2"/>
    </row>
    <row r="61" spans="1:45" x14ac:dyDescent="0.2">
      <c r="A61" s="3" t="s">
        <v>199</v>
      </c>
      <c r="B61" s="2"/>
    </row>
    <row r="62" spans="1:45" x14ac:dyDescent="0.2">
      <c r="A62" s="42" t="s">
        <v>200</v>
      </c>
      <c r="B62" s="2">
        <v>6000</v>
      </c>
      <c r="C62" s="42"/>
      <c r="F62" s="2"/>
      <c r="G62" s="2">
        <f t="shared" ref="G62:O62" si="155">$B62/12</f>
        <v>500</v>
      </c>
      <c r="H62" s="2">
        <f t="shared" si="155"/>
        <v>500</v>
      </c>
      <c r="I62" s="2">
        <f t="shared" si="155"/>
        <v>500</v>
      </c>
      <c r="J62" s="2">
        <f t="shared" si="155"/>
        <v>500</v>
      </c>
      <c r="K62" s="2">
        <f t="shared" si="155"/>
        <v>500</v>
      </c>
      <c r="L62" s="2">
        <f t="shared" si="155"/>
        <v>500</v>
      </c>
      <c r="M62" s="2">
        <f t="shared" si="155"/>
        <v>500</v>
      </c>
      <c r="N62" s="2">
        <f t="shared" si="155"/>
        <v>500</v>
      </c>
      <c r="O62" s="2">
        <f t="shared" si="155"/>
        <v>500</v>
      </c>
      <c r="Q62" s="9">
        <f>SUM(D62:O62)</f>
        <v>4500</v>
      </c>
      <c r="S62" s="2">
        <f>O62</f>
        <v>500</v>
      </c>
      <c r="T62" s="2">
        <f>S62</f>
        <v>500</v>
      </c>
      <c r="U62" s="2">
        <f t="shared" ref="U62:Z62" si="156">T62</f>
        <v>500</v>
      </c>
      <c r="V62" s="2">
        <f t="shared" si="156"/>
        <v>500</v>
      </c>
      <c r="W62" s="2">
        <f t="shared" si="156"/>
        <v>500</v>
      </c>
      <c r="X62" s="2">
        <f t="shared" si="156"/>
        <v>500</v>
      </c>
      <c r="Y62" s="2">
        <f t="shared" si="156"/>
        <v>500</v>
      </c>
      <c r="Z62" s="2">
        <f t="shared" si="156"/>
        <v>500</v>
      </c>
      <c r="AA62" s="2">
        <f>Z62</f>
        <v>500</v>
      </c>
      <c r="AB62" s="2">
        <f t="shared" ref="AB62:AD62" si="157">AA62</f>
        <v>500</v>
      </c>
      <c r="AC62" s="2">
        <f t="shared" si="157"/>
        <v>500</v>
      </c>
      <c r="AD62" s="2">
        <f t="shared" si="157"/>
        <v>500</v>
      </c>
      <c r="AE62" s="9">
        <f>SUM(S62:AD62)</f>
        <v>6000</v>
      </c>
      <c r="AG62" s="2">
        <f>AC62</f>
        <v>500</v>
      </c>
      <c r="AH62" s="2">
        <f>AG62</f>
        <v>500</v>
      </c>
      <c r="AI62" s="2">
        <f t="shared" ref="AI62:AI67" si="158">AH62</f>
        <v>500</v>
      </c>
      <c r="AJ62" s="2">
        <f t="shared" ref="AJ62:AJ67" si="159">AI62</f>
        <v>500</v>
      </c>
      <c r="AK62" s="2">
        <f t="shared" ref="AK62:AK67" si="160">AJ62</f>
        <v>500</v>
      </c>
      <c r="AL62" s="2">
        <f t="shared" ref="AL62:AL67" si="161">AK62</f>
        <v>500</v>
      </c>
      <c r="AM62" s="2">
        <f t="shared" ref="AM62:AM67" si="162">AL62</f>
        <v>500</v>
      </c>
      <c r="AN62" s="2">
        <f t="shared" ref="AN62:AN67" si="163">AM62</f>
        <v>500</v>
      </c>
      <c r="AO62" s="2">
        <f>AN62</f>
        <v>500</v>
      </c>
      <c r="AP62" s="2">
        <f t="shared" ref="AP62:AP67" si="164">AO62</f>
        <v>500</v>
      </c>
      <c r="AQ62" s="2">
        <f t="shared" ref="AQ62:AQ67" si="165">AP62</f>
        <v>500</v>
      </c>
      <c r="AR62" s="2">
        <f t="shared" ref="AR62:AR67" si="166">AQ62</f>
        <v>500</v>
      </c>
      <c r="AS62" s="9">
        <f>SUM(AG62:AR62)</f>
        <v>6000</v>
      </c>
    </row>
    <row r="63" spans="1:45" x14ac:dyDescent="0.2">
      <c r="A63" s="39" t="s">
        <v>205</v>
      </c>
      <c r="B63" s="2">
        <v>2400</v>
      </c>
      <c r="C63" s="39"/>
      <c r="F63" s="2"/>
      <c r="G63" s="2">
        <f t="shared" ref="G63:O67" si="167">$B63/12</f>
        <v>200</v>
      </c>
      <c r="H63" s="2">
        <f t="shared" si="167"/>
        <v>200</v>
      </c>
      <c r="I63" s="2">
        <f t="shared" si="167"/>
        <v>200</v>
      </c>
      <c r="J63" s="2">
        <f t="shared" si="167"/>
        <v>200</v>
      </c>
      <c r="K63" s="2">
        <f t="shared" si="167"/>
        <v>200</v>
      </c>
      <c r="L63" s="2">
        <f t="shared" si="167"/>
        <v>200</v>
      </c>
      <c r="M63" s="2">
        <f t="shared" si="167"/>
        <v>200</v>
      </c>
      <c r="N63" s="2">
        <f t="shared" si="167"/>
        <v>200</v>
      </c>
      <c r="O63" s="2">
        <f t="shared" si="167"/>
        <v>200</v>
      </c>
      <c r="Q63" s="9">
        <f t="shared" ref="Q63:Q67" si="168">SUM(D63:O63)</f>
        <v>1800</v>
      </c>
      <c r="S63" s="2">
        <f t="shared" ref="S63:S67" si="169">O63</f>
        <v>200</v>
      </c>
      <c r="T63" s="2">
        <f t="shared" ref="T63:Z67" si="170">S63</f>
        <v>200</v>
      </c>
      <c r="U63" s="2">
        <f t="shared" si="170"/>
        <v>200</v>
      </c>
      <c r="V63" s="2">
        <f t="shared" si="170"/>
        <v>200</v>
      </c>
      <c r="W63" s="2">
        <f t="shared" si="170"/>
        <v>200</v>
      </c>
      <c r="X63" s="2">
        <f t="shared" si="170"/>
        <v>200</v>
      </c>
      <c r="Y63" s="2">
        <f t="shared" si="170"/>
        <v>200</v>
      </c>
      <c r="Z63" s="2">
        <f t="shared" si="170"/>
        <v>200</v>
      </c>
      <c r="AA63" s="2">
        <f t="shared" ref="AA63:AD63" si="171">Z63</f>
        <v>200</v>
      </c>
      <c r="AB63" s="2">
        <f t="shared" si="171"/>
        <v>200</v>
      </c>
      <c r="AC63" s="2">
        <f t="shared" si="171"/>
        <v>200</v>
      </c>
      <c r="AD63" s="2">
        <f t="shared" si="171"/>
        <v>200</v>
      </c>
      <c r="AE63" s="9">
        <f t="shared" ref="AE63:AE66" si="172">SUM(S63:AD63)</f>
        <v>2400</v>
      </c>
      <c r="AG63" s="2">
        <f t="shared" ref="AG63:AG67" si="173">AC63</f>
        <v>200</v>
      </c>
      <c r="AH63" s="2">
        <f t="shared" ref="AH63:AH67" si="174">AG63</f>
        <v>200</v>
      </c>
      <c r="AI63" s="2">
        <f t="shared" si="158"/>
        <v>200</v>
      </c>
      <c r="AJ63" s="2">
        <f t="shared" si="159"/>
        <v>200</v>
      </c>
      <c r="AK63" s="2">
        <f t="shared" si="160"/>
        <v>200</v>
      </c>
      <c r="AL63" s="2">
        <f t="shared" si="161"/>
        <v>200</v>
      </c>
      <c r="AM63" s="2">
        <f t="shared" si="162"/>
        <v>200</v>
      </c>
      <c r="AN63" s="2">
        <f t="shared" si="163"/>
        <v>200</v>
      </c>
      <c r="AO63" s="2">
        <f t="shared" ref="AO63:AO67" si="175">AN63</f>
        <v>200</v>
      </c>
      <c r="AP63" s="2">
        <f t="shared" si="164"/>
        <v>200</v>
      </c>
      <c r="AQ63" s="2">
        <f t="shared" si="165"/>
        <v>200</v>
      </c>
      <c r="AR63" s="2">
        <f t="shared" si="166"/>
        <v>200</v>
      </c>
      <c r="AS63" s="9">
        <f t="shared" ref="AS63:AS66" si="176">SUM(AG63:AR63)</f>
        <v>2400</v>
      </c>
    </row>
    <row r="64" spans="1:45" x14ac:dyDescent="0.2">
      <c r="A64" s="39" t="s">
        <v>201</v>
      </c>
      <c r="B64" s="2">
        <v>3000</v>
      </c>
      <c r="C64" s="39"/>
      <c r="F64" s="2"/>
      <c r="G64" s="2">
        <f t="shared" si="167"/>
        <v>250</v>
      </c>
      <c r="H64" s="2">
        <f t="shared" si="167"/>
        <v>250</v>
      </c>
      <c r="I64" s="2">
        <f t="shared" si="167"/>
        <v>250</v>
      </c>
      <c r="J64" s="2">
        <f t="shared" si="167"/>
        <v>250</v>
      </c>
      <c r="K64" s="2">
        <f t="shared" si="167"/>
        <v>250</v>
      </c>
      <c r="L64" s="2">
        <f t="shared" si="167"/>
        <v>250</v>
      </c>
      <c r="M64" s="2">
        <f t="shared" si="167"/>
        <v>250</v>
      </c>
      <c r="N64" s="2">
        <f t="shared" si="167"/>
        <v>250</v>
      </c>
      <c r="O64" s="2">
        <f t="shared" si="167"/>
        <v>250</v>
      </c>
      <c r="Q64" s="9">
        <f t="shared" si="168"/>
        <v>2250</v>
      </c>
      <c r="S64" s="2">
        <f t="shared" si="169"/>
        <v>250</v>
      </c>
      <c r="T64" s="2">
        <f t="shared" si="170"/>
        <v>250</v>
      </c>
      <c r="U64" s="2">
        <f t="shared" si="170"/>
        <v>250</v>
      </c>
      <c r="V64" s="2">
        <f t="shared" si="170"/>
        <v>250</v>
      </c>
      <c r="W64" s="2">
        <f t="shared" si="170"/>
        <v>250</v>
      </c>
      <c r="X64" s="2">
        <f t="shared" si="170"/>
        <v>250</v>
      </c>
      <c r="Y64" s="2">
        <f t="shared" si="170"/>
        <v>250</v>
      </c>
      <c r="Z64" s="2">
        <f t="shared" si="170"/>
        <v>250</v>
      </c>
      <c r="AA64" s="2">
        <f t="shared" ref="AA64:AD64" si="177">Z64</f>
        <v>250</v>
      </c>
      <c r="AB64" s="2">
        <f t="shared" si="177"/>
        <v>250</v>
      </c>
      <c r="AC64" s="2">
        <f t="shared" si="177"/>
        <v>250</v>
      </c>
      <c r="AD64" s="2">
        <f t="shared" si="177"/>
        <v>250</v>
      </c>
      <c r="AE64" s="9">
        <f t="shared" si="172"/>
        <v>3000</v>
      </c>
      <c r="AG64" s="2">
        <f t="shared" si="173"/>
        <v>250</v>
      </c>
      <c r="AH64" s="2">
        <f t="shared" si="174"/>
        <v>250</v>
      </c>
      <c r="AI64" s="2">
        <f t="shared" si="158"/>
        <v>250</v>
      </c>
      <c r="AJ64" s="2">
        <f t="shared" si="159"/>
        <v>250</v>
      </c>
      <c r="AK64" s="2">
        <f t="shared" si="160"/>
        <v>250</v>
      </c>
      <c r="AL64" s="2">
        <f t="shared" si="161"/>
        <v>250</v>
      </c>
      <c r="AM64" s="2">
        <f t="shared" si="162"/>
        <v>250</v>
      </c>
      <c r="AN64" s="2">
        <f t="shared" si="163"/>
        <v>250</v>
      </c>
      <c r="AO64" s="2">
        <f t="shared" si="175"/>
        <v>250</v>
      </c>
      <c r="AP64" s="2">
        <f t="shared" si="164"/>
        <v>250</v>
      </c>
      <c r="AQ64" s="2">
        <f t="shared" si="165"/>
        <v>250</v>
      </c>
      <c r="AR64" s="2">
        <f t="shared" si="166"/>
        <v>250</v>
      </c>
      <c r="AS64" s="9">
        <f t="shared" si="176"/>
        <v>3000</v>
      </c>
    </row>
    <row r="65" spans="1:45" x14ac:dyDescent="0.2">
      <c r="A65" s="42" t="s">
        <v>202</v>
      </c>
      <c r="B65" s="2">
        <v>2400</v>
      </c>
      <c r="C65" s="42"/>
      <c r="F65" s="2"/>
      <c r="G65" s="2">
        <f t="shared" si="167"/>
        <v>200</v>
      </c>
      <c r="H65" s="2">
        <f t="shared" si="167"/>
        <v>200</v>
      </c>
      <c r="I65" s="2">
        <f t="shared" si="167"/>
        <v>200</v>
      </c>
      <c r="J65" s="2">
        <f t="shared" si="167"/>
        <v>200</v>
      </c>
      <c r="K65" s="2">
        <f t="shared" si="167"/>
        <v>200</v>
      </c>
      <c r="L65" s="2">
        <f t="shared" si="167"/>
        <v>200</v>
      </c>
      <c r="M65" s="2">
        <f t="shared" si="167"/>
        <v>200</v>
      </c>
      <c r="N65" s="2">
        <f t="shared" si="167"/>
        <v>200</v>
      </c>
      <c r="O65" s="2">
        <f t="shared" si="167"/>
        <v>200</v>
      </c>
      <c r="Q65" s="9">
        <f t="shared" si="168"/>
        <v>1800</v>
      </c>
      <c r="S65" s="2">
        <f t="shared" si="169"/>
        <v>200</v>
      </c>
      <c r="T65" s="2">
        <f t="shared" si="170"/>
        <v>200</v>
      </c>
      <c r="U65" s="2">
        <f t="shared" si="170"/>
        <v>200</v>
      </c>
      <c r="V65" s="2">
        <f t="shared" si="170"/>
        <v>200</v>
      </c>
      <c r="W65" s="2">
        <f t="shared" si="170"/>
        <v>200</v>
      </c>
      <c r="X65" s="2">
        <f t="shared" si="170"/>
        <v>200</v>
      </c>
      <c r="Y65" s="2">
        <f t="shared" si="170"/>
        <v>200</v>
      </c>
      <c r="Z65" s="2">
        <f t="shared" si="170"/>
        <v>200</v>
      </c>
      <c r="AA65" s="2">
        <f t="shared" ref="AA65:AD65" si="178">Z65</f>
        <v>200</v>
      </c>
      <c r="AB65" s="2">
        <f t="shared" si="178"/>
        <v>200</v>
      </c>
      <c r="AC65" s="2">
        <f t="shared" si="178"/>
        <v>200</v>
      </c>
      <c r="AD65" s="2">
        <f t="shared" si="178"/>
        <v>200</v>
      </c>
      <c r="AE65" s="9">
        <f t="shared" si="172"/>
        <v>2400</v>
      </c>
      <c r="AG65" s="2">
        <f t="shared" si="173"/>
        <v>200</v>
      </c>
      <c r="AH65" s="2">
        <f t="shared" si="174"/>
        <v>200</v>
      </c>
      <c r="AI65" s="2">
        <f t="shared" si="158"/>
        <v>200</v>
      </c>
      <c r="AJ65" s="2">
        <f t="shared" si="159"/>
        <v>200</v>
      </c>
      <c r="AK65" s="2">
        <f t="shared" si="160"/>
        <v>200</v>
      </c>
      <c r="AL65" s="2">
        <f t="shared" si="161"/>
        <v>200</v>
      </c>
      <c r="AM65" s="2">
        <f t="shared" si="162"/>
        <v>200</v>
      </c>
      <c r="AN65" s="2">
        <f t="shared" si="163"/>
        <v>200</v>
      </c>
      <c r="AO65" s="2">
        <f t="shared" si="175"/>
        <v>200</v>
      </c>
      <c r="AP65" s="2">
        <f t="shared" si="164"/>
        <v>200</v>
      </c>
      <c r="AQ65" s="2">
        <f t="shared" si="165"/>
        <v>200</v>
      </c>
      <c r="AR65" s="2">
        <f t="shared" si="166"/>
        <v>200</v>
      </c>
      <c r="AS65" s="9">
        <f t="shared" si="176"/>
        <v>2400</v>
      </c>
    </row>
    <row r="66" spans="1:45" x14ac:dyDescent="0.2">
      <c r="A66" s="39" t="s">
        <v>203</v>
      </c>
      <c r="B66" s="2">
        <v>3600</v>
      </c>
      <c r="C66" s="39"/>
      <c r="F66" s="2"/>
      <c r="G66" s="2">
        <f t="shared" si="167"/>
        <v>300</v>
      </c>
      <c r="H66" s="2">
        <f t="shared" si="167"/>
        <v>300</v>
      </c>
      <c r="I66" s="2">
        <f t="shared" si="167"/>
        <v>300</v>
      </c>
      <c r="J66" s="2">
        <f t="shared" si="167"/>
        <v>300</v>
      </c>
      <c r="K66" s="2">
        <f t="shared" si="167"/>
        <v>300</v>
      </c>
      <c r="L66" s="2">
        <f t="shared" si="167"/>
        <v>300</v>
      </c>
      <c r="M66" s="2">
        <f t="shared" si="167"/>
        <v>300</v>
      </c>
      <c r="N66" s="2">
        <f t="shared" si="167"/>
        <v>300</v>
      </c>
      <c r="O66" s="2">
        <f t="shared" si="167"/>
        <v>300</v>
      </c>
      <c r="Q66" s="9">
        <f t="shared" si="168"/>
        <v>2700</v>
      </c>
      <c r="S66" s="2">
        <f t="shared" si="169"/>
        <v>300</v>
      </c>
      <c r="T66" s="2">
        <f t="shared" si="170"/>
        <v>300</v>
      </c>
      <c r="U66" s="2">
        <f t="shared" si="170"/>
        <v>300</v>
      </c>
      <c r="V66" s="2">
        <f t="shared" si="170"/>
        <v>300</v>
      </c>
      <c r="W66" s="2">
        <f t="shared" si="170"/>
        <v>300</v>
      </c>
      <c r="X66" s="2">
        <f t="shared" si="170"/>
        <v>300</v>
      </c>
      <c r="Y66" s="2">
        <f t="shared" si="170"/>
        <v>300</v>
      </c>
      <c r="Z66" s="2">
        <f t="shared" si="170"/>
        <v>300</v>
      </c>
      <c r="AA66" s="2">
        <f t="shared" ref="AA66:AD66" si="179">Z66</f>
        <v>300</v>
      </c>
      <c r="AB66" s="2">
        <f t="shared" si="179"/>
        <v>300</v>
      </c>
      <c r="AC66" s="2">
        <f t="shared" si="179"/>
        <v>300</v>
      </c>
      <c r="AD66" s="2">
        <f t="shared" si="179"/>
        <v>300</v>
      </c>
      <c r="AE66" s="9">
        <f t="shared" si="172"/>
        <v>3600</v>
      </c>
      <c r="AG66" s="2">
        <f t="shared" si="173"/>
        <v>300</v>
      </c>
      <c r="AH66" s="2">
        <f t="shared" si="174"/>
        <v>300</v>
      </c>
      <c r="AI66" s="2">
        <f t="shared" si="158"/>
        <v>300</v>
      </c>
      <c r="AJ66" s="2">
        <f t="shared" si="159"/>
        <v>300</v>
      </c>
      <c r="AK66" s="2">
        <f t="shared" si="160"/>
        <v>300</v>
      </c>
      <c r="AL66" s="2">
        <f t="shared" si="161"/>
        <v>300</v>
      </c>
      <c r="AM66" s="2">
        <f t="shared" si="162"/>
        <v>300</v>
      </c>
      <c r="AN66" s="2">
        <f t="shared" si="163"/>
        <v>300</v>
      </c>
      <c r="AO66" s="2">
        <f t="shared" si="175"/>
        <v>300</v>
      </c>
      <c r="AP66" s="2">
        <f t="shared" si="164"/>
        <v>300</v>
      </c>
      <c r="AQ66" s="2">
        <f t="shared" si="165"/>
        <v>300</v>
      </c>
      <c r="AR66" s="2">
        <f t="shared" si="166"/>
        <v>300</v>
      </c>
      <c r="AS66" s="9">
        <f t="shared" si="176"/>
        <v>3600</v>
      </c>
    </row>
    <row r="67" spans="1:45" x14ac:dyDescent="0.2">
      <c r="A67" s="39" t="s">
        <v>204</v>
      </c>
      <c r="B67" s="2">
        <v>24000</v>
      </c>
      <c r="C67" s="39"/>
      <c r="F67" s="2"/>
      <c r="G67" s="2">
        <f t="shared" si="167"/>
        <v>2000</v>
      </c>
      <c r="H67" s="2">
        <f t="shared" si="167"/>
        <v>2000</v>
      </c>
      <c r="I67" s="2">
        <f t="shared" si="167"/>
        <v>2000</v>
      </c>
      <c r="J67" s="2">
        <f t="shared" si="167"/>
        <v>2000</v>
      </c>
      <c r="K67" s="2">
        <f t="shared" si="167"/>
        <v>2000</v>
      </c>
      <c r="L67" s="2">
        <f t="shared" si="167"/>
        <v>2000</v>
      </c>
      <c r="M67" s="2">
        <f t="shared" si="167"/>
        <v>2000</v>
      </c>
      <c r="N67" s="2">
        <f t="shared" si="167"/>
        <v>2000</v>
      </c>
      <c r="O67" s="2">
        <f t="shared" si="167"/>
        <v>2000</v>
      </c>
      <c r="Q67" s="9">
        <f t="shared" si="168"/>
        <v>18000</v>
      </c>
      <c r="S67" s="2">
        <f t="shared" si="169"/>
        <v>2000</v>
      </c>
      <c r="T67" s="2">
        <f t="shared" si="170"/>
        <v>2000</v>
      </c>
      <c r="U67" s="2">
        <f t="shared" si="170"/>
        <v>2000</v>
      </c>
      <c r="V67" s="2">
        <f t="shared" si="170"/>
        <v>2000</v>
      </c>
      <c r="W67" s="2">
        <f t="shared" si="170"/>
        <v>2000</v>
      </c>
      <c r="X67" s="2">
        <f t="shared" si="170"/>
        <v>2000</v>
      </c>
      <c r="Y67" s="2">
        <f t="shared" si="170"/>
        <v>2000</v>
      </c>
      <c r="Z67" s="2">
        <f t="shared" si="170"/>
        <v>2000</v>
      </c>
      <c r="AA67" s="2">
        <f t="shared" ref="AA67:AD67" si="180">Z67</f>
        <v>2000</v>
      </c>
      <c r="AB67" s="2">
        <f t="shared" si="180"/>
        <v>2000</v>
      </c>
      <c r="AC67" s="2">
        <f t="shared" si="180"/>
        <v>2000</v>
      </c>
      <c r="AD67" s="2">
        <f t="shared" si="180"/>
        <v>2000</v>
      </c>
      <c r="AE67" s="9">
        <f>SUM(S67:AD67)</f>
        <v>24000</v>
      </c>
      <c r="AG67" s="2">
        <f t="shared" si="173"/>
        <v>2000</v>
      </c>
      <c r="AH67" s="2">
        <f t="shared" si="174"/>
        <v>2000</v>
      </c>
      <c r="AI67" s="2">
        <f t="shared" si="158"/>
        <v>2000</v>
      </c>
      <c r="AJ67" s="2">
        <f t="shared" si="159"/>
        <v>2000</v>
      </c>
      <c r="AK67" s="2">
        <f t="shared" si="160"/>
        <v>2000</v>
      </c>
      <c r="AL67" s="2">
        <f t="shared" si="161"/>
        <v>2000</v>
      </c>
      <c r="AM67" s="2">
        <f t="shared" si="162"/>
        <v>2000</v>
      </c>
      <c r="AN67" s="2">
        <f t="shared" si="163"/>
        <v>2000</v>
      </c>
      <c r="AO67" s="2">
        <f t="shared" si="175"/>
        <v>2000</v>
      </c>
      <c r="AP67" s="2">
        <f t="shared" si="164"/>
        <v>2000</v>
      </c>
      <c r="AQ67" s="2">
        <f t="shared" si="165"/>
        <v>2000</v>
      </c>
      <c r="AR67" s="2">
        <f t="shared" si="166"/>
        <v>2000</v>
      </c>
      <c r="AS67" s="9">
        <f>SUM(AG67:AR67)</f>
        <v>24000</v>
      </c>
    </row>
    <row r="68" spans="1:45" ht="8" customHeight="1" x14ac:dyDescent="0.2">
      <c r="B68" s="2"/>
    </row>
    <row r="69" spans="1:45" x14ac:dyDescent="0.2">
      <c r="A69" s="3" t="s">
        <v>209</v>
      </c>
      <c r="B69" s="2"/>
      <c r="F69" s="9"/>
      <c r="G69" s="9">
        <f t="shared" ref="G69:L69" si="181">SUM(G62:G68)</f>
        <v>3450</v>
      </c>
      <c r="H69" s="9">
        <f t="shared" si="181"/>
        <v>3450</v>
      </c>
      <c r="I69" s="9">
        <f t="shared" si="181"/>
        <v>3450</v>
      </c>
      <c r="J69" s="9">
        <f t="shared" si="181"/>
        <v>3450</v>
      </c>
      <c r="K69" s="9">
        <f t="shared" si="181"/>
        <v>3450</v>
      </c>
      <c r="L69" s="9">
        <f t="shared" si="181"/>
        <v>3450</v>
      </c>
      <c r="M69" s="9">
        <f t="shared" ref="M69" si="182">SUM(M62:M68)</f>
        <v>3450</v>
      </c>
      <c r="N69" s="9">
        <f t="shared" ref="N69" si="183">SUM(N62:N68)</f>
        <v>3450</v>
      </c>
      <c r="O69" s="9">
        <f t="shared" ref="O69" si="184">SUM(O62:O68)</f>
        <v>3450</v>
      </c>
      <c r="Q69" s="31">
        <f>SUM(Q62:Q68)</f>
        <v>31050</v>
      </c>
      <c r="S69" s="9">
        <f t="shared" ref="S69" si="185">SUM(S62:S68)</f>
        <v>3450</v>
      </c>
      <c r="T69" s="9">
        <f t="shared" ref="T69" si="186">SUM(T62:T68)</f>
        <v>3450</v>
      </c>
      <c r="U69" s="9">
        <f t="shared" ref="U69" si="187">SUM(U62:U68)</f>
        <v>3450</v>
      </c>
      <c r="V69" s="9">
        <f t="shared" ref="V69" si="188">SUM(V62:V68)</f>
        <v>3450</v>
      </c>
      <c r="W69" s="9">
        <f t="shared" ref="W69" si="189">SUM(W62:W68)</f>
        <v>3450</v>
      </c>
      <c r="X69" s="9">
        <f t="shared" ref="X69" si="190">SUM(X62:X68)</f>
        <v>3450</v>
      </c>
      <c r="Y69" s="9">
        <f t="shared" ref="Y69" si="191">SUM(Y62:Y68)</f>
        <v>3450</v>
      </c>
      <c r="Z69" s="9">
        <f t="shared" ref="Z69" si="192">SUM(Z62:Z68)</f>
        <v>3450</v>
      </c>
      <c r="AA69" s="9">
        <f t="shared" ref="AA69" si="193">SUM(AA62:AA68)</f>
        <v>3450</v>
      </c>
      <c r="AB69" s="9">
        <f t="shared" ref="AB69" si="194">SUM(AB62:AB68)</f>
        <v>3450</v>
      </c>
      <c r="AC69" s="9">
        <f t="shared" ref="AC69" si="195">SUM(AC62:AC68)</f>
        <v>3450</v>
      </c>
      <c r="AD69" s="9">
        <f t="shared" ref="AD69" si="196">SUM(AD62:AD68)</f>
        <v>3450</v>
      </c>
      <c r="AE69" s="9">
        <f>SUM(S69:AD69)</f>
        <v>41400</v>
      </c>
      <c r="AG69" s="9">
        <f t="shared" ref="AG69:AR69" si="197">SUM(AG62:AG68)</f>
        <v>3450</v>
      </c>
      <c r="AH69" s="9">
        <f t="shared" si="197"/>
        <v>3450</v>
      </c>
      <c r="AI69" s="9">
        <f t="shared" si="197"/>
        <v>3450</v>
      </c>
      <c r="AJ69" s="9">
        <f t="shared" si="197"/>
        <v>3450</v>
      </c>
      <c r="AK69" s="9">
        <f t="shared" si="197"/>
        <v>3450</v>
      </c>
      <c r="AL69" s="9">
        <f t="shared" si="197"/>
        <v>3450</v>
      </c>
      <c r="AM69" s="9">
        <f t="shared" si="197"/>
        <v>3450</v>
      </c>
      <c r="AN69" s="9">
        <f t="shared" si="197"/>
        <v>3450</v>
      </c>
      <c r="AO69" s="9">
        <f t="shared" si="197"/>
        <v>3450</v>
      </c>
      <c r="AP69" s="9">
        <f t="shared" si="197"/>
        <v>3450</v>
      </c>
      <c r="AQ69" s="9">
        <f t="shared" si="197"/>
        <v>3450</v>
      </c>
      <c r="AR69" s="9">
        <f t="shared" si="197"/>
        <v>3450</v>
      </c>
      <c r="AS69" s="9">
        <f>SUM(AG69:AR69)</f>
        <v>41400</v>
      </c>
    </row>
    <row r="70" spans="1:45" x14ac:dyDescent="0.2">
      <c r="B70" s="2"/>
    </row>
    <row r="71" spans="1:45" s="44" customFormat="1" ht="17" thickBot="1" x14ac:dyDescent="0.25">
      <c r="A71" s="46" t="s">
        <v>211</v>
      </c>
      <c r="B71" s="46"/>
      <c r="C71" s="46"/>
      <c r="D71" s="46"/>
      <c r="E71" s="46"/>
      <c r="F71" s="46">
        <f>F29-F38</f>
        <v>-14600</v>
      </c>
      <c r="G71" s="46">
        <f t="shared" ref="G71:L71" si="198">G29-G50-G69-G59</f>
        <v>939.08333333333212</v>
      </c>
      <c r="H71" s="46">
        <f t="shared" si="198"/>
        <v>65186.083333333328</v>
      </c>
      <c r="I71" s="46">
        <f t="shared" si="198"/>
        <v>-19272.916666666668</v>
      </c>
      <c r="J71" s="46">
        <f t="shared" si="198"/>
        <v>-29481.916666666668</v>
      </c>
      <c r="K71" s="46">
        <f t="shared" si="198"/>
        <v>-24654.916666666668</v>
      </c>
      <c r="L71" s="46">
        <f t="shared" si="198"/>
        <v>-70110.916666666657</v>
      </c>
      <c r="M71" s="46">
        <f t="shared" ref="M71:O71" si="199">M29-M50-M69-M59</f>
        <v>-32983.916666666672</v>
      </c>
      <c r="N71" s="46">
        <f t="shared" si="199"/>
        <v>-31292.916666666668</v>
      </c>
      <c r="O71" s="46">
        <f t="shared" si="199"/>
        <v>-27910.916666666668</v>
      </c>
      <c r="P71" s="46"/>
      <c r="Q71" s="46">
        <f>Q29-Q50-Q69-Q59</f>
        <v>-169583.25</v>
      </c>
      <c r="S71" s="46">
        <f t="shared" ref="S71:AD71" si="200">S29-S50-S69-S59</f>
        <v>-27654.514999999999</v>
      </c>
      <c r="T71" s="46">
        <f t="shared" si="200"/>
        <v>-14612.794999999998</v>
      </c>
      <c r="U71" s="46">
        <f t="shared" si="200"/>
        <v>-14612.794999999998</v>
      </c>
      <c r="V71" s="46">
        <f t="shared" si="200"/>
        <v>10338.565000000002</v>
      </c>
      <c r="W71" s="46">
        <f t="shared" si="200"/>
        <v>71491.00499999999</v>
      </c>
      <c r="X71" s="46">
        <f t="shared" si="200"/>
        <v>4463.3249999999971</v>
      </c>
      <c r="Y71" s="46">
        <f t="shared" si="200"/>
        <v>-27908.154999999999</v>
      </c>
      <c r="Z71" s="46">
        <f t="shared" si="200"/>
        <v>-23591.014999999999</v>
      </c>
      <c r="AA71" s="46">
        <f t="shared" si="200"/>
        <v>-76312.135000000009</v>
      </c>
      <c r="AB71" s="46">
        <f t="shared" si="200"/>
        <v>-36348.994999999995</v>
      </c>
      <c r="AC71" s="46">
        <f t="shared" si="200"/>
        <v>-34175.375</v>
      </c>
      <c r="AD71" s="46">
        <f t="shared" si="200"/>
        <v>-29828.134999999998</v>
      </c>
      <c r="AE71" s="46">
        <f>SUM(S71:AD71)</f>
        <v>-198751.02000000002</v>
      </c>
      <c r="AG71" s="46">
        <f t="shared" ref="AG71:AR71" si="201">AG29-AG50-AG69-AG59</f>
        <v>-28138.605299999996</v>
      </c>
      <c r="AH71" s="46">
        <f t="shared" si="201"/>
        <v>-14836.050899999995</v>
      </c>
      <c r="AI71" s="46">
        <f t="shared" si="201"/>
        <v>-14836.050899999995</v>
      </c>
      <c r="AJ71" s="46">
        <f t="shared" si="201"/>
        <v>9738.7862999999852</v>
      </c>
      <c r="AK71" s="46">
        <f t="shared" si="201"/>
        <v>73819.125100000034</v>
      </c>
      <c r="AL71" s="46">
        <f t="shared" si="201"/>
        <v>4247.8415000000023</v>
      </c>
      <c r="AM71" s="46">
        <f t="shared" si="201"/>
        <v>-28724.398099999991</v>
      </c>
      <c r="AN71" s="46">
        <f t="shared" si="201"/>
        <v>-24294.915299999993</v>
      </c>
      <c r="AO71" s="46">
        <f t="shared" si="201"/>
        <v>-76925.377699999997</v>
      </c>
      <c r="AP71" s="46">
        <f t="shared" si="201"/>
        <v>-37006.974900000001</v>
      </c>
      <c r="AQ71" s="46">
        <f t="shared" si="201"/>
        <v>-34789.8825</v>
      </c>
      <c r="AR71" s="46">
        <f t="shared" si="201"/>
        <v>-30355.697699999993</v>
      </c>
      <c r="AS71" s="46">
        <f>SUM(AG71:AR71)</f>
        <v>-202102.20039999994</v>
      </c>
    </row>
    <row r="72" spans="1:45" ht="17" thickTop="1" x14ac:dyDescent="0.2"/>
    <row r="73" spans="1:45" x14ac:dyDescent="0.2">
      <c r="A73" s="10" t="s">
        <v>243</v>
      </c>
    </row>
    <row r="74" spans="1:45" ht="17" thickBot="1" x14ac:dyDescent="0.25">
      <c r="A74" t="s">
        <v>244</v>
      </c>
      <c r="B74" s="2">
        <v>200000</v>
      </c>
      <c r="F74" s="54">
        <f>B74+F71</f>
        <v>185400</v>
      </c>
      <c r="G74" s="54">
        <f>F74+G71</f>
        <v>186339.08333333334</v>
      </c>
      <c r="H74" s="54">
        <f t="shared" ref="H74:O74" si="202">G74+H71</f>
        <v>251525.16666666669</v>
      </c>
      <c r="I74" s="54">
        <f t="shared" si="202"/>
        <v>232252.25000000003</v>
      </c>
      <c r="J74" s="54">
        <f t="shared" si="202"/>
        <v>202770.33333333337</v>
      </c>
      <c r="K74" s="54">
        <f t="shared" si="202"/>
        <v>178115.41666666672</v>
      </c>
      <c r="L74" s="54">
        <f t="shared" si="202"/>
        <v>108004.50000000006</v>
      </c>
      <c r="M74" s="54">
        <f t="shared" si="202"/>
        <v>75020.583333333387</v>
      </c>
      <c r="N74" s="54">
        <f t="shared" si="202"/>
        <v>43727.666666666715</v>
      </c>
      <c r="O74" s="54">
        <f t="shared" si="202"/>
        <v>15816.750000000047</v>
      </c>
      <c r="S74" s="52">
        <f>O74+S71</f>
        <v>-11837.764999999952</v>
      </c>
      <c r="T74" s="52">
        <f>S74+T71</f>
        <v>-26450.55999999995</v>
      </c>
      <c r="U74" s="52">
        <f t="shared" ref="U74:AD74" si="203">T74+U71</f>
        <v>-41063.354999999952</v>
      </c>
      <c r="V74" s="52">
        <f t="shared" si="203"/>
        <v>-30724.78999999995</v>
      </c>
      <c r="W74" s="52">
        <f t="shared" si="203"/>
        <v>40766.21500000004</v>
      </c>
      <c r="X74" s="52">
        <f t="shared" si="203"/>
        <v>45229.540000000037</v>
      </c>
      <c r="Y74" s="52">
        <f t="shared" si="203"/>
        <v>17321.385000000038</v>
      </c>
      <c r="Z74" s="52">
        <f t="shared" si="203"/>
        <v>-6269.629999999961</v>
      </c>
      <c r="AA74" s="52">
        <f t="shared" si="203"/>
        <v>-82581.76499999997</v>
      </c>
      <c r="AB74" s="52">
        <f t="shared" si="203"/>
        <v>-118930.75999999997</v>
      </c>
      <c r="AC74" s="52">
        <f t="shared" si="203"/>
        <v>-153106.13499999995</v>
      </c>
      <c r="AD74" s="52">
        <f t="shared" si="203"/>
        <v>-182934.26999999996</v>
      </c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</row>
    <row r="75" spans="1:45" ht="17" thickTop="1" x14ac:dyDescent="0.2">
      <c r="B75" s="2"/>
      <c r="F75" s="55"/>
      <c r="G75" s="55"/>
      <c r="H75" s="55"/>
      <c r="I75" s="55"/>
      <c r="J75" s="55"/>
      <c r="K75" s="55"/>
      <c r="L75" s="55"/>
      <c r="M75" s="55"/>
      <c r="N75" s="55"/>
      <c r="O75" s="55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</row>
    <row r="76" spans="1:45" x14ac:dyDescent="0.2">
      <c r="A76" t="s">
        <v>245</v>
      </c>
      <c r="B76" s="2">
        <v>300000</v>
      </c>
      <c r="J76" s="2">
        <f>J74+B76</f>
        <v>502770.33333333337</v>
      </c>
      <c r="K76" s="2">
        <f>J76+K71</f>
        <v>478115.41666666669</v>
      </c>
      <c r="L76" s="2">
        <f t="shared" ref="L76:O76" si="204">K76+L71</f>
        <v>408004.5</v>
      </c>
      <c r="M76" s="2">
        <f t="shared" si="204"/>
        <v>375020.58333333331</v>
      </c>
      <c r="N76" s="2">
        <f t="shared" si="204"/>
        <v>343727.66666666663</v>
      </c>
      <c r="O76" s="2">
        <f t="shared" si="204"/>
        <v>315816.74999999994</v>
      </c>
      <c r="S76" s="52">
        <f>O76+S71</f>
        <v>288162.23499999993</v>
      </c>
      <c r="T76" s="52">
        <f>S76+T71</f>
        <v>273549.43999999994</v>
      </c>
      <c r="U76" s="52">
        <f t="shared" ref="U76:AD76" si="205">T76+U71</f>
        <v>258936.64499999996</v>
      </c>
      <c r="V76" s="52">
        <f t="shared" si="205"/>
        <v>269275.20999999996</v>
      </c>
      <c r="W76" s="52">
        <f t="shared" si="205"/>
        <v>340766.21499999997</v>
      </c>
      <c r="X76" s="52">
        <f t="shared" si="205"/>
        <v>345229.54</v>
      </c>
      <c r="Y76" s="52">
        <f t="shared" si="205"/>
        <v>317321.38500000001</v>
      </c>
      <c r="Z76" s="52">
        <f t="shared" si="205"/>
        <v>293730.37</v>
      </c>
      <c r="AA76" s="52">
        <f t="shared" si="205"/>
        <v>217418.23499999999</v>
      </c>
      <c r="AB76" s="52">
        <f t="shared" si="205"/>
        <v>181069.24</v>
      </c>
      <c r="AC76" s="52">
        <f t="shared" si="205"/>
        <v>146893.86499999999</v>
      </c>
      <c r="AD76" s="52">
        <f t="shared" si="205"/>
        <v>117065.73</v>
      </c>
      <c r="AG76" s="52">
        <f>AC76+AG71</f>
        <v>118755.2597</v>
      </c>
      <c r="AH76" s="52">
        <f>AG76+AH71</f>
        <v>103919.20879999999</v>
      </c>
      <c r="AI76" s="52">
        <f t="shared" ref="AI76:AR76" si="206">AH76+AI71</f>
        <v>89083.157899999991</v>
      </c>
      <c r="AJ76" s="52">
        <f t="shared" si="206"/>
        <v>98821.944199999969</v>
      </c>
      <c r="AK76" s="52">
        <f t="shared" si="206"/>
        <v>172641.0693</v>
      </c>
      <c r="AL76" s="52">
        <f t="shared" si="206"/>
        <v>176888.91080000001</v>
      </c>
      <c r="AM76" s="52">
        <f t="shared" si="206"/>
        <v>148164.51270000002</v>
      </c>
      <c r="AN76" s="52">
        <f t="shared" si="206"/>
        <v>123869.59740000003</v>
      </c>
      <c r="AO76" s="52">
        <f t="shared" si="206"/>
        <v>46944.219700000031</v>
      </c>
      <c r="AP76" s="52">
        <f t="shared" si="206"/>
        <v>9937.2448000000295</v>
      </c>
      <c r="AQ76" s="52">
        <f t="shared" si="206"/>
        <v>-24852.63769999997</v>
      </c>
      <c r="AR76" s="52">
        <f t="shared" si="206"/>
        <v>-55208.335399999967</v>
      </c>
    </row>
    <row r="77" spans="1:45" x14ac:dyDescent="0.2">
      <c r="A77" t="s">
        <v>272</v>
      </c>
      <c r="B77" s="2">
        <v>250000</v>
      </c>
    </row>
    <row r="79" spans="1:45" x14ac:dyDescent="0.2">
      <c r="A79" s="58" t="s">
        <v>274</v>
      </c>
    </row>
    <row r="80" spans="1:45" x14ac:dyDescent="0.2">
      <c r="A80" s="4" t="s">
        <v>278</v>
      </c>
    </row>
    <row r="81" spans="1:45" x14ac:dyDescent="0.2">
      <c r="A81" t="s">
        <v>275</v>
      </c>
    </row>
    <row r="82" spans="1:45" x14ac:dyDescent="0.2">
      <c r="A82" t="s">
        <v>276</v>
      </c>
    </row>
    <row r="83" spans="1:45" x14ac:dyDescent="0.2">
      <c r="A83" t="s">
        <v>277</v>
      </c>
      <c r="AD83" s="26" t="s">
        <v>230</v>
      </c>
      <c r="AE83" s="44">
        <f>Q71+AE71</f>
        <v>-368334.27</v>
      </c>
      <c r="AR83" s="26" t="s">
        <v>271</v>
      </c>
      <c r="AS83" s="44">
        <f>Q71+AE71+AS71</f>
        <v>-570436.47039999999</v>
      </c>
    </row>
    <row r="85" spans="1:45" x14ac:dyDescent="0.2">
      <c r="A85" t="s">
        <v>231</v>
      </c>
    </row>
    <row r="86" spans="1:45" x14ac:dyDescent="0.2">
      <c r="A86" t="s">
        <v>242</v>
      </c>
    </row>
    <row r="87" spans="1:45" x14ac:dyDescent="0.2">
      <c r="AC87" s="52"/>
      <c r="AQ87" s="52"/>
    </row>
  </sheetData>
  <phoneticPr fontId="6" type="noConversion"/>
  <pageMargins left="0.7" right="0.7" top="0.75" bottom="0.75" header="0.3" footer="0.3"/>
  <pageSetup paperSize="9" scale="57" orientation="landscape" horizontalDpi="0" verticalDpi="0"/>
  <rowBreaks count="1" manualBreakCount="1">
    <brk id="29" max="16383" man="1"/>
  </rowBreaks>
  <colBreaks count="1" manualBreakCount="1">
    <brk id="17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topLeftCell="A3" zoomScale="226" workbookViewId="0">
      <selection activeCell="H52" sqref="H52"/>
    </sheetView>
  </sheetViews>
  <sheetFormatPr baseColWidth="10" defaultColWidth="11" defaultRowHeight="16" x14ac:dyDescent="0.2"/>
  <cols>
    <col min="1" max="1" width="19" customWidth="1"/>
    <col min="2" max="2" width="37.6640625" bestFit="1" customWidth="1"/>
    <col min="3" max="3" width="11" style="2"/>
    <col min="4" max="4" width="6.1640625" customWidth="1"/>
    <col min="5" max="5" width="11.5" customWidth="1"/>
    <col min="6" max="7" width="8.5" customWidth="1"/>
    <col min="8" max="8" width="16.1640625" bestFit="1" customWidth="1"/>
  </cols>
  <sheetData>
    <row r="1" spans="1:4" x14ac:dyDescent="0.2">
      <c r="A1" s="10" t="s">
        <v>52</v>
      </c>
    </row>
    <row r="3" spans="1:4" ht="21" x14ac:dyDescent="0.4">
      <c r="A3" s="12" t="s">
        <v>41</v>
      </c>
    </row>
    <row r="5" spans="1:4" x14ac:dyDescent="0.2">
      <c r="A5" s="3" t="s">
        <v>4</v>
      </c>
    </row>
    <row r="6" spans="1:4" x14ac:dyDescent="0.2">
      <c r="A6" t="s">
        <v>296</v>
      </c>
      <c r="B6" t="s">
        <v>297</v>
      </c>
      <c r="C6" s="2">
        <f>'Phase 2 capital'!C18</f>
        <v>2007720</v>
      </c>
      <c r="D6" s="13"/>
    </row>
    <row r="7" spans="1:4" x14ac:dyDescent="0.2">
      <c r="A7" t="s">
        <v>5</v>
      </c>
      <c r="B7" t="s">
        <v>22</v>
      </c>
      <c r="C7" s="2">
        <f>250000*3</f>
        <v>750000</v>
      </c>
    </row>
    <row r="8" spans="1:4" x14ac:dyDescent="0.2">
      <c r="A8" t="s">
        <v>6</v>
      </c>
      <c r="B8" t="s">
        <v>19</v>
      </c>
      <c r="C8" s="2">
        <f>450000/3*2</f>
        <v>300000</v>
      </c>
      <c r="D8" t="s">
        <v>107</v>
      </c>
    </row>
    <row r="9" spans="1:4" x14ac:dyDescent="0.2">
      <c r="A9" t="s">
        <v>7</v>
      </c>
      <c r="B9" t="s">
        <v>8</v>
      </c>
      <c r="C9" s="2">
        <f>75000*3</f>
        <v>225000</v>
      </c>
    </row>
    <row r="10" spans="1:4" x14ac:dyDescent="0.2">
      <c r="A10" t="s">
        <v>9</v>
      </c>
      <c r="B10" t="s">
        <v>10</v>
      </c>
      <c r="C10" s="2">
        <v>300000</v>
      </c>
    </row>
    <row r="11" spans="1:4" x14ac:dyDescent="0.2">
      <c r="A11" t="s">
        <v>21</v>
      </c>
      <c r="B11" t="s">
        <v>111</v>
      </c>
      <c r="C11" s="2">
        <v>120000</v>
      </c>
    </row>
    <row r="12" spans="1:4" x14ac:dyDescent="0.2">
      <c r="A12" t="s">
        <v>3</v>
      </c>
      <c r="B12" t="s">
        <v>110</v>
      </c>
      <c r="C12" s="2">
        <f>E25*2</f>
        <v>65000</v>
      </c>
    </row>
    <row r="13" spans="1:4" ht="8" customHeight="1" x14ac:dyDescent="0.2"/>
    <row r="14" spans="1:4" x14ac:dyDescent="0.2">
      <c r="C14" s="9">
        <f>SUM(C6:C13)</f>
        <v>3767720</v>
      </c>
    </row>
    <row r="16" spans="1:4" x14ac:dyDescent="0.2">
      <c r="A16" s="3" t="s">
        <v>15</v>
      </c>
    </row>
    <row r="17" spans="1:5" x14ac:dyDescent="0.2">
      <c r="A17" t="s">
        <v>13</v>
      </c>
      <c r="C17" s="2">
        <v>1500000</v>
      </c>
    </row>
    <row r="18" spans="1:5" x14ac:dyDescent="0.2">
      <c r="A18" t="s">
        <v>108</v>
      </c>
      <c r="B18" t="s">
        <v>99</v>
      </c>
      <c r="C18" s="2">
        <v>500000</v>
      </c>
      <c r="D18" s="8"/>
      <c r="E18" s="2"/>
    </row>
    <row r="19" spans="1:5" x14ac:dyDescent="0.2">
      <c r="A19" t="s">
        <v>45</v>
      </c>
      <c r="C19" s="2">
        <v>500000</v>
      </c>
      <c r="D19" s="8"/>
      <c r="E19" s="2"/>
    </row>
    <row r="20" spans="1:5" x14ac:dyDescent="0.2">
      <c r="A20" t="s">
        <v>14</v>
      </c>
      <c r="B20" t="s">
        <v>16</v>
      </c>
      <c r="C20" s="2">
        <v>500000</v>
      </c>
      <c r="D20" s="1"/>
      <c r="E20" s="2"/>
    </row>
    <row r="21" spans="1:5" ht="8" customHeight="1" x14ac:dyDescent="0.2"/>
    <row r="22" spans="1:5" x14ac:dyDescent="0.2">
      <c r="C22" s="9">
        <f>SUM(C17:C21)</f>
        <v>3000000</v>
      </c>
    </row>
    <row r="23" spans="1:5" x14ac:dyDescent="0.2">
      <c r="C23" s="9"/>
    </row>
    <row r="24" spans="1:5" x14ac:dyDescent="0.2">
      <c r="A24" s="3" t="s">
        <v>85</v>
      </c>
      <c r="C24" s="9"/>
    </row>
    <row r="25" spans="1:5" x14ac:dyDescent="0.2">
      <c r="A25" t="s">
        <v>108</v>
      </c>
      <c r="B25" t="s">
        <v>98</v>
      </c>
      <c r="C25" s="2">
        <v>500000</v>
      </c>
      <c r="D25" s="8">
        <v>6.5000000000000002E-2</v>
      </c>
      <c r="E25" s="2">
        <f>C25*D25</f>
        <v>32500</v>
      </c>
    </row>
    <row r="26" spans="1:5" x14ac:dyDescent="0.2">
      <c r="A26" t="s">
        <v>68</v>
      </c>
      <c r="C26" s="2">
        <v>400000</v>
      </c>
      <c r="D26" s="1">
        <v>0.02</v>
      </c>
      <c r="E26" s="2">
        <f>C26*D26+(C26*2%)</f>
        <v>16000</v>
      </c>
    </row>
    <row r="27" spans="1:5" x14ac:dyDescent="0.2">
      <c r="A27" t="s">
        <v>46</v>
      </c>
      <c r="B27" t="s">
        <v>47</v>
      </c>
      <c r="C27" s="2">
        <v>250000</v>
      </c>
      <c r="D27" s="1">
        <v>0.02</v>
      </c>
      <c r="E27" s="2">
        <f>D27*C27</f>
        <v>5000</v>
      </c>
    </row>
    <row r="28" spans="1:5" x14ac:dyDescent="0.2">
      <c r="A28" t="s">
        <v>86</v>
      </c>
      <c r="D28" s="1"/>
      <c r="E28" s="2">
        <f>SUM(C26:C27)*2%</f>
        <v>13000</v>
      </c>
    </row>
    <row r="29" spans="1:5" ht="6" customHeight="1" x14ac:dyDescent="0.2">
      <c r="D29" s="1"/>
      <c r="E29" s="2"/>
    </row>
    <row r="30" spans="1:5" x14ac:dyDescent="0.2">
      <c r="C30" s="2">
        <f>SUM(C25:C29)</f>
        <v>1150000</v>
      </c>
      <c r="D30" s="1"/>
      <c r="E30" s="2">
        <f>SUM(E25:E29)</f>
        <v>66500</v>
      </c>
    </row>
    <row r="32" spans="1:5" ht="21" x14ac:dyDescent="0.25">
      <c r="A32" s="12" t="s">
        <v>299</v>
      </c>
    </row>
    <row r="34" spans="1:7" x14ac:dyDescent="0.2">
      <c r="A34" s="10" t="s">
        <v>23</v>
      </c>
      <c r="C34" s="21" t="s">
        <v>112</v>
      </c>
      <c r="D34" s="26"/>
      <c r="E34" s="26" t="s">
        <v>113</v>
      </c>
    </row>
    <row r="35" spans="1:7" x14ac:dyDescent="0.2">
      <c r="A35" t="s">
        <v>24</v>
      </c>
    </row>
    <row r="36" spans="1:7" x14ac:dyDescent="0.2">
      <c r="B36" t="s">
        <v>29</v>
      </c>
      <c r="C36" s="2">
        <v>175000</v>
      </c>
      <c r="E36" s="2">
        <f>E70</f>
        <v>225000</v>
      </c>
      <c r="F36" s="7">
        <f>C36/11000</f>
        <v>15.909090909090908</v>
      </c>
      <c r="G36" t="s">
        <v>32</v>
      </c>
    </row>
    <row r="37" spans="1:7" x14ac:dyDescent="0.2">
      <c r="B37" t="s">
        <v>31</v>
      </c>
      <c r="C37" s="2">
        <f>1000*3.5*12</f>
        <v>42000</v>
      </c>
      <c r="E37" s="2">
        <f>1000*3.5*12</f>
        <v>42000</v>
      </c>
      <c r="F37" s="7" t="s">
        <v>115</v>
      </c>
    </row>
    <row r="38" spans="1:7" x14ac:dyDescent="0.2">
      <c r="B38" t="s">
        <v>30</v>
      </c>
      <c r="C38" s="2">
        <f>C49-C36-C37</f>
        <v>48000</v>
      </c>
      <c r="E38" s="2">
        <f>E49-E36-E37</f>
        <v>-2000</v>
      </c>
      <c r="G38" s="7"/>
    </row>
    <row r="39" spans="1:7" ht="7" customHeight="1" x14ac:dyDescent="0.2">
      <c r="G39" s="7"/>
    </row>
    <row r="40" spans="1:7" x14ac:dyDescent="0.2">
      <c r="C40" s="9">
        <f>SUM(C36:C39)</f>
        <v>265000</v>
      </c>
      <c r="E40" s="9">
        <f>SUM(E36:E39)</f>
        <v>265000</v>
      </c>
      <c r="G40" s="7"/>
    </row>
    <row r="42" spans="1:7" x14ac:dyDescent="0.2">
      <c r="A42" t="s">
        <v>25</v>
      </c>
    </row>
    <row r="43" spans="1:7" x14ac:dyDescent="0.2">
      <c r="B43" t="s">
        <v>48</v>
      </c>
      <c r="C43" s="2">
        <v>25000</v>
      </c>
      <c r="E43" s="2">
        <f>C43</f>
        <v>25000</v>
      </c>
    </row>
    <row r="44" spans="1:7" x14ac:dyDescent="0.2">
      <c r="B44" t="s">
        <v>26</v>
      </c>
      <c r="C44" s="2">
        <v>50000</v>
      </c>
      <c r="E44" s="2">
        <f>C44</f>
        <v>50000</v>
      </c>
    </row>
    <row r="45" spans="1:7" x14ac:dyDescent="0.2">
      <c r="B45" t="s">
        <v>27</v>
      </c>
      <c r="C45" s="2">
        <f>66000+15000</f>
        <v>81000</v>
      </c>
      <c r="E45" s="2">
        <f t="shared" ref="E45:E47" si="0">C45</f>
        <v>81000</v>
      </c>
    </row>
    <row r="46" spans="1:7" x14ac:dyDescent="0.2">
      <c r="B46" t="s">
        <v>28</v>
      </c>
      <c r="C46" s="2">
        <v>75000</v>
      </c>
      <c r="E46" s="2">
        <f t="shared" si="0"/>
        <v>75000</v>
      </c>
      <c r="F46" t="s">
        <v>33</v>
      </c>
    </row>
    <row r="47" spans="1:7" x14ac:dyDescent="0.2">
      <c r="B47" t="s">
        <v>95</v>
      </c>
      <c r="C47" s="2">
        <f>E26+E27+E28</f>
        <v>34000</v>
      </c>
      <c r="E47" s="2">
        <f t="shared" si="0"/>
        <v>34000</v>
      </c>
    </row>
    <row r="48" spans="1:7" ht="6" customHeight="1" x14ac:dyDescent="0.2"/>
    <row r="49" spans="1:5" x14ac:dyDescent="0.2">
      <c r="C49" s="9">
        <f>SUM(C43:C48)</f>
        <v>265000</v>
      </c>
      <c r="E49" s="9">
        <f>SUM(E43:E48)</f>
        <v>265000</v>
      </c>
    </row>
    <row r="51" spans="1:5" x14ac:dyDescent="0.2">
      <c r="A51" s="10" t="s">
        <v>34</v>
      </c>
    </row>
    <row r="52" spans="1:5" x14ac:dyDescent="0.2">
      <c r="A52" s="18" t="s">
        <v>53</v>
      </c>
    </row>
    <row r="53" spans="1:5" x14ac:dyDescent="0.2">
      <c r="A53" s="18" t="s">
        <v>54</v>
      </c>
    </row>
    <row r="54" spans="1:5" x14ac:dyDescent="0.2">
      <c r="C54" s="2">
        <f>C38-C77</f>
        <v>-21320</v>
      </c>
      <c r="E54" s="2">
        <f>E38-E77</f>
        <v>-243614.95999999996</v>
      </c>
    </row>
    <row r="55" spans="1:5" x14ac:dyDescent="0.2">
      <c r="A55" s="3" t="s">
        <v>17</v>
      </c>
    </row>
    <row r="56" spans="1:5" x14ac:dyDescent="0.2">
      <c r="A56" s="3"/>
      <c r="C56" s="25" t="s">
        <v>105</v>
      </c>
      <c r="D56" s="5"/>
      <c r="E56" s="5" t="s">
        <v>106</v>
      </c>
    </row>
    <row r="57" spans="1:5" x14ac:dyDescent="0.2">
      <c r="B57" s="5" t="s">
        <v>11</v>
      </c>
      <c r="C57" s="5" t="s">
        <v>12</v>
      </c>
      <c r="E57" s="5" t="s">
        <v>12</v>
      </c>
    </row>
    <row r="58" spans="1:5" x14ac:dyDescent="0.2">
      <c r="B58" s="6">
        <v>350000</v>
      </c>
      <c r="C58" s="7">
        <v>2.94</v>
      </c>
      <c r="E58" s="7">
        <v>4</v>
      </c>
    </row>
    <row r="59" spans="1:5" x14ac:dyDescent="0.2">
      <c r="A59" s="6"/>
      <c r="B59" s="7" t="s">
        <v>301</v>
      </c>
      <c r="C59" s="11">
        <f>B58*C58</f>
        <v>1029000</v>
      </c>
      <c r="E59" s="11">
        <f>B58*E58</f>
        <v>1400000</v>
      </c>
    </row>
    <row r="60" spans="1:5" x14ac:dyDescent="0.2">
      <c r="B60" s="6" t="s">
        <v>37</v>
      </c>
      <c r="C60" s="11">
        <v>120000</v>
      </c>
      <c r="E60" s="2">
        <v>200000</v>
      </c>
    </row>
    <row r="61" spans="1:5" x14ac:dyDescent="0.2">
      <c r="B61" s="6" t="s">
        <v>36</v>
      </c>
      <c r="C61" s="11">
        <v>120000</v>
      </c>
      <c r="E61" s="2">
        <f>Original!H52</f>
        <v>127344.96000000001</v>
      </c>
    </row>
    <row r="62" spans="1:5" ht="9" customHeight="1" x14ac:dyDescent="0.2">
      <c r="B62" s="6"/>
      <c r="C62" s="9"/>
    </row>
    <row r="63" spans="1:5" x14ac:dyDescent="0.2">
      <c r="A63" s="6"/>
      <c r="B63" s="7"/>
      <c r="C63" s="9">
        <f>SUM(C59:C62)</f>
        <v>1269000</v>
      </c>
      <c r="E63" s="9">
        <f>SUM(E59:E62)</f>
        <v>1727344.96</v>
      </c>
    </row>
    <row r="65" spans="1:6" x14ac:dyDescent="0.2">
      <c r="A65" s="3" t="s">
        <v>18</v>
      </c>
    </row>
    <row r="66" spans="1:6" x14ac:dyDescent="0.2">
      <c r="A66" t="s">
        <v>2</v>
      </c>
      <c r="B66" t="s">
        <v>43</v>
      </c>
      <c r="C66" s="2">
        <f>C59*D66</f>
        <v>308700</v>
      </c>
      <c r="D66" s="1">
        <v>0.3</v>
      </c>
      <c r="E66" s="2">
        <f>E59*D66</f>
        <v>420000</v>
      </c>
    </row>
    <row r="67" spans="1:6" x14ac:dyDescent="0.2">
      <c r="A67" s="4" t="s">
        <v>38</v>
      </c>
      <c r="B67" t="s">
        <v>42</v>
      </c>
      <c r="C67" s="2">
        <f>(C59+C60)*D67</f>
        <v>287250</v>
      </c>
      <c r="D67" s="1">
        <v>0.25</v>
      </c>
      <c r="E67" s="2">
        <f>(E59+E60)*D67</f>
        <v>400000</v>
      </c>
    </row>
    <row r="68" spans="1:6" x14ac:dyDescent="0.2">
      <c r="A68" s="4" t="s">
        <v>39</v>
      </c>
      <c r="B68" s="1" t="s">
        <v>40</v>
      </c>
      <c r="C68" s="2">
        <f>(60000+38000+38000+28000+(3*19000))*113%</f>
        <v>249729.99999999997</v>
      </c>
      <c r="E68" s="2">
        <f>C68</f>
        <v>249729.99999999997</v>
      </c>
    </row>
    <row r="69" spans="1:6" x14ac:dyDescent="0.2">
      <c r="A69" s="4" t="s">
        <v>55</v>
      </c>
      <c r="B69" s="1" t="s">
        <v>50</v>
      </c>
      <c r="C69" s="2">
        <v>24000</v>
      </c>
      <c r="E69" s="2">
        <v>36000</v>
      </c>
    </row>
    <row r="70" spans="1:6" x14ac:dyDescent="0.2">
      <c r="A70" t="s">
        <v>0</v>
      </c>
      <c r="B70" t="s">
        <v>1</v>
      </c>
      <c r="C70" s="2">
        <f>C36</f>
        <v>175000</v>
      </c>
      <c r="E70" s="2">
        <v>225000</v>
      </c>
    </row>
    <row r="71" spans="1:6" x14ac:dyDescent="0.2">
      <c r="A71" t="s">
        <v>20</v>
      </c>
      <c r="B71" t="s">
        <v>35</v>
      </c>
      <c r="C71" s="2">
        <v>65000</v>
      </c>
      <c r="E71" s="2">
        <f>C71</f>
        <v>65000</v>
      </c>
    </row>
    <row r="72" spans="1:6" x14ac:dyDescent="0.2">
      <c r="A72" t="s">
        <v>44</v>
      </c>
      <c r="B72" t="s">
        <v>51</v>
      </c>
      <c r="C72" s="2">
        <f>5000*12</f>
        <v>60000</v>
      </c>
      <c r="E72" s="2">
        <f>C72</f>
        <v>60000</v>
      </c>
    </row>
    <row r="73" spans="1:6" x14ac:dyDescent="0.2">
      <c r="A73" t="s">
        <v>26</v>
      </c>
      <c r="B73" t="s">
        <v>49</v>
      </c>
      <c r="C73" s="2">
        <v>30000</v>
      </c>
      <c r="E73" s="2">
        <f>C73</f>
        <v>30000</v>
      </c>
    </row>
    <row r="74" spans="1:6" ht="10" customHeight="1" x14ac:dyDescent="0.2"/>
    <row r="75" spans="1:6" x14ac:dyDescent="0.2">
      <c r="C75" s="9">
        <f>SUM(C66:C74)</f>
        <v>1199680</v>
      </c>
      <c r="E75" s="9">
        <f>SUM(E66:E74)</f>
        <v>1485730</v>
      </c>
    </row>
    <row r="77" spans="1:6" s="17" customFormat="1" ht="19" x14ac:dyDescent="0.25">
      <c r="A77" s="14" t="s">
        <v>87</v>
      </c>
      <c r="B77" s="14"/>
      <c r="C77" s="15">
        <f>C63-C75</f>
        <v>69320</v>
      </c>
      <c r="D77" s="16">
        <f>C77/C63</f>
        <v>5.462568951930654E-2</v>
      </c>
      <c r="E77" s="15">
        <f>E63-E75</f>
        <v>241614.95999999996</v>
      </c>
      <c r="F77" s="16">
        <f>E77/E63</f>
        <v>0.13987649577534297</v>
      </c>
    </row>
  </sheetData>
  <phoneticPr fontId="6" type="noConversion"/>
  <pageMargins left="0.7" right="0.7" top="0.75" bottom="0.75" header="0.3" footer="0.3"/>
  <pageSetup paperSize="9" scale="80" fitToHeight="2" orientation="portrait" horizontalDpi="0" verticalDpi="0"/>
  <rowBreaks count="1" manualBreakCount="1">
    <brk id="30" max="16383" man="1"/>
  </rowBreaks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P97"/>
  <sheetViews>
    <sheetView tabSelected="1" zoomScale="125" zoomScaleNormal="90" zoomScalePageLayoutView="90" workbookViewId="0">
      <pane xSplit="1" ySplit="1" topLeftCell="B5" activePane="bottomRight" state="frozenSplit"/>
      <selection pane="topRight"/>
      <selection pane="bottomLeft" activeCell="A17" sqref="A17"/>
      <selection pane="bottomRight" activeCell="AS26" sqref="AS26"/>
    </sheetView>
  </sheetViews>
  <sheetFormatPr baseColWidth="10" defaultColWidth="11" defaultRowHeight="16" x14ac:dyDescent="0.2"/>
  <cols>
    <col min="1" max="1" width="57.6640625" customWidth="1"/>
    <col min="2" max="2" width="9.83203125" bestFit="1" customWidth="1"/>
    <col min="3" max="3" width="18.5" customWidth="1"/>
    <col min="4" max="4" width="10.1640625" bestFit="1" customWidth="1"/>
    <col min="5" max="5" width="8.33203125" bestFit="1" customWidth="1"/>
    <col min="6" max="6" width="9.1640625" bestFit="1" customWidth="1"/>
    <col min="7" max="7" width="9.5" bestFit="1" customWidth="1"/>
    <col min="8" max="8" width="9.33203125" bestFit="1" customWidth="1"/>
    <col min="9" max="11" width="9.5" bestFit="1" customWidth="1"/>
    <col min="12" max="12" width="10.5" bestFit="1" customWidth="1"/>
    <col min="13" max="15" width="10.33203125" customWidth="1"/>
    <col min="16" max="16" width="1.5" customWidth="1"/>
    <col min="17" max="17" width="12.33203125" style="3" customWidth="1"/>
    <col min="18" max="18" width="10" customWidth="1"/>
    <col min="19" max="19" width="10.33203125" bestFit="1" customWidth="1"/>
    <col min="20" max="20" width="9.5" bestFit="1" customWidth="1"/>
    <col min="21" max="21" width="10" bestFit="1" customWidth="1"/>
    <col min="22" max="22" width="10.33203125" bestFit="1" customWidth="1"/>
    <col min="23" max="26" width="9.5" bestFit="1" customWidth="1"/>
    <col min="27" max="29" width="10" bestFit="1" customWidth="1"/>
    <col min="30" max="30" width="11.33203125" bestFit="1" customWidth="1"/>
    <col min="31" max="31" width="10.1640625" style="3" bestFit="1" customWidth="1"/>
    <col min="32" max="32" width="11.1640625" bestFit="1" customWidth="1"/>
    <col min="33" max="33" width="10.33203125" bestFit="1" customWidth="1"/>
    <col min="34" max="34" width="9.5" bestFit="1" customWidth="1"/>
    <col min="35" max="35" width="10" bestFit="1" customWidth="1"/>
    <col min="36" max="36" width="10.33203125" bestFit="1" customWidth="1"/>
    <col min="37" max="38" width="9.5" bestFit="1" customWidth="1"/>
    <col min="39" max="41" width="10" bestFit="1" customWidth="1"/>
    <col min="42" max="42" width="11" style="3" bestFit="1" customWidth="1"/>
  </cols>
  <sheetData>
    <row r="1" spans="1:42" s="26" customFormat="1" x14ac:dyDescent="0.2">
      <c r="C1" s="19" t="s">
        <v>227</v>
      </c>
      <c r="D1" s="57">
        <v>43191</v>
      </c>
      <c r="E1" s="57">
        <v>43221</v>
      </c>
      <c r="F1" s="57">
        <v>43252</v>
      </c>
      <c r="G1" s="57">
        <v>43282</v>
      </c>
      <c r="H1" s="57">
        <v>43313</v>
      </c>
      <c r="I1" s="57">
        <v>43344</v>
      </c>
      <c r="J1" s="57">
        <v>43374</v>
      </c>
      <c r="K1" s="57">
        <v>43405</v>
      </c>
      <c r="L1" s="57">
        <v>43435</v>
      </c>
      <c r="M1" s="57">
        <v>43466</v>
      </c>
      <c r="N1" s="57">
        <v>43497</v>
      </c>
      <c r="O1" s="57">
        <v>43525</v>
      </c>
      <c r="Q1" s="19" t="s">
        <v>166</v>
      </c>
      <c r="R1" s="19" t="s">
        <v>228</v>
      </c>
      <c r="S1" s="57">
        <v>43556</v>
      </c>
      <c r="T1" s="57">
        <v>43586</v>
      </c>
      <c r="U1" s="57">
        <v>43617</v>
      </c>
      <c r="V1" s="57">
        <v>43647</v>
      </c>
      <c r="W1" s="57">
        <v>43678</v>
      </c>
      <c r="X1" s="57">
        <v>43709</v>
      </c>
      <c r="Y1" s="57">
        <v>43739</v>
      </c>
      <c r="Z1" s="57">
        <v>43770</v>
      </c>
      <c r="AA1" s="57">
        <v>43800</v>
      </c>
      <c r="AB1" s="57">
        <v>43831</v>
      </c>
      <c r="AC1" s="57">
        <v>43862</v>
      </c>
      <c r="AD1" s="57">
        <v>43891</v>
      </c>
      <c r="AE1" s="19" t="s">
        <v>166</v>
      </c>
      <c r="AF1" s="19" t="s">
        <v>270</v>
      </c>
      <c r="AG1" s="57">
        <v>43922</v>
      </c>
      <c r="AH1" s="57">
        <v>43952</v>
      </c>
      <c r="AI1" s="57">
        <v>43983</v>
      </c>
      <c r="AJ1" s="57">
        <v>44013</v>
      </c>
      <c r="AK1" s="57">
        <v>44044</v>
      </c>
      <c r="AL1" s="57">
        <v>44075</v>
      </c>
      <c r="AM1" s="57">
        <v>44105</v>
      </c>
      <c r="AN1" s="57">
        <v>44136</v>
      </c>
      <c r="AO1" s="57">
        <v>44166</v>
      </c>
      <c r="AP1" s="68" t="s">
        <v>166</v>
      </c>
    </row>
    <row r="2" spans="1:42" s="39" customFormat="1" x14ac:dyDescent="0.2">
      <c r="A2" s="87" t="s">
        <v>165</v>
      </c>
      <c r="B2" s="35"/>
      <c r="C2" s="51"/>
      <c r="D2" s="38">
        <v>0.06</v>
      </c>
      <c r="E2" s="38">
        <v>0.12</v>
      </c>
      <c r="F2" s="38">
        <v>0.12</v>
      </c>
      <c r="G2" s="38">
        <v>0.15</v>
      </c>
      <c r="H2" s="38">
        <v>0.18</v>
      </c>
      <c r="I2" s="38">
        <v>0.13</v>
      </c>
      <c r="J2" s="38">
        <v>0.06</v>
      </c>
      <c r="K2" s="38">
        <v>0.03</v>
      </c>
      <c r="L2" s="38">
        <v>0.05</v>
      </c>
      <c r="M2" s="38">
        <v>0.02</v>
      </c>
      <c r="N2" s="38">
        <v>0.03</v>
      </c>
      <c r="O2" s="38">
        <v>0.05</v>
      </c>
      <c r="P2" s="37"/>
      <c r="Q2" s="40">
        <f>SUM(C2:P2)</f>
        <v>1</v>
      </c>
      <c r="R2" s="51"/>
      <c r="S2" s="38">
        <v>0.06</v>
      </c>
      <c r="T2" s="38">
        <v>0.12</v>
      </c>
      <c r="U2" s="38">
        <v>0.12</v>
      </c>
      <c r="V2" s="38">
        <v>0.15</v>
      </c>
      <c r="W2" s="38">
        <v>0.18</v>
      </c>
      <c r="X2" s="38">
        <v>0.13</v>
      </c>
      <c r="Y2" s="38">
        <v>0.06</v>
      </c>
      <c r="Z2" s="38">
        <v>0.03</v>
      </c>
      <c r="AA2" s="38">
        <v>0.05</v>
      </c>
      <c r="AB2" s="38">
        <v>0.02</v>
      </c>
      <c r="AC2" s="38">
        <v>0.03</v>
      </c>
      <c r="AD2" s="38">
        <v>0.05</v>
      </c>
      <c r="AE2" s="40">
        <f>SUM(S2:AD2)</f>
        <v>1</v>
      </c>
      <c r="AF2" s="51"/>
      <c r="AG2" s="38">
        <v>0.06</v>
      </c>
      <c r="AH2" s="38">
        <v>0.12</v>
      </c>
      <c r="AI2" s="38">
        <v>0.12</v>
      </c>
      <c r="AJ2" s="38">
        <v>0.15</v>
      </c>
      <c r="AK2" s="38">
        <v>0.18</v>
      </c>
      <c r="AL2" s="38">
        <v>0.13</v>
      </c>
      <c r="AM2" s="38">
        <v>0.06</v>
      </c>
      <c r="AN2" s="38">
        <v>0.03</v>
      </c>
      <c r="AO2" s="38">
        <v>0.05</v>
      </c>
      <c r="AP2" s="69">
        <f>SUM(AG2:AO2)</f>
        <v>0.89999999999999991</v>
      </c>
    </row>
    <row r="3" spans="1:42" s="39" customFormat="1" ht="4" customHeight="1" x14ac:dyDescent="0.2">
      <c r="A3" s="87"/>
      <c r="B3" s="35"/>
      <c r="C3" s="51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7"/>
      <c r="Q3" s="40"/>
      <c r="R3" s="51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40"/>
      <c r="AF3" s="51"/>
      <c r="AG3" s="38"/>
      <c r="AH3" s="38"/>
      <c r="AI3" s="38"/>
      <c r="AJ3" s="38"/>
      <c r="AK3" s="38"/>
      <c r="AL3" s="38"/>
      <c r="AM3" s="38"/>
      <c r="AN3" s="38"/>
      <c r="AO3" s="38"/>
      <c r="AP3" s="69"/>
    </row>
    <row r="4" spans="1:42" s="4" customFormat="1" x14ac:dyDescent="0.2">
      <c r="A4" s="4" t="s">
        <v>396</v>
      </c>
      <c r="C4" s="86"/>
      <c r="D4" s="86">
        <f t="shared" ref="D4:O4" si="0">$Q$4*D2</f>
        <v>12000</v>
      </c>
      <c r="E4" s="86">
        <f t="shared" si="0"/>
        <v>24000</v>
      </c>
      <c r="F4" s="86">
        <f t="shared" si="0"/>
        <v>24000</v>
      </c>
      <c r="G4" s="86">
        <f t="shared" si="0"/>
        <v>30000</v>
      </c>
      <c r="H4" s="86">
        <f t="shared" si="0"/>
        <v>36000</v>
      </c>
      <c r="I4" s="86">
        <f t="shared" si="0"/>
        <v>26000</v>
      </c>
      <c r="J4" s="86">
        <f t="shared" si="0"/>
        <v>12000</v>
      </c>
      <c r="K4" s="86">
        <f t="shared" si="0"/>
        <v>6000</v>
      </c>
      <c r="L4" s="86">
        <f t="shared" si="0"/>
        <v>10000</v>
      </c>
      <c r="M4" s="86">
        <f t="shared" si="0"/>
        <v>4000</v>
      </c>
      <c r="N4" s="86">
        <f t="shared" si="0"/>
        <v>6000</v>
      </c>
      <c r="O4" s="86">
        <f t="shared" si="0"/>
        <v>10000</v>
      </c>
      <c r="P4" s="86"/>
      <c r="Q4" s="81">
        <v>200000</v>
      </c>
      <c r="S4" s="86">
        <f t="shared" ref="S4:AD4" si="1">$Q$4*S2</f>
        <v>12000</v>
      </c>
      <c r="T4" s="86">
        <f t="shared" si="1"/>
        <v>24000</v>
      </c>
      <c r="U4" s="86">
        <f t="shared" si="1"/>
        <v>24000</v>
      </c>
      <c r="V4" s="86">
        <f t="shared" si="1"/>
        <v>30000</v>
      </c>
      <c r="W4" s="86">
        <f t="shared" si="1"/>
        <v>36000</v>
      </c>
      <c r="X4" s="86">
        <f t="shared" si="1"/>
        <v>26000</v>
      </c>
      <c r="Y4" s="86">
        <f t="shared" si="1"/>
        <v>12000</v>
      </c>
      <c r="Z4" s="86">
        <f t="shared" si="1"/>
        <v>6000</v>
      </c>
      <c r="AA4" s="86">
        <f t="shared" si="1"/>
        <v>10000</v>
      </c>
      <c r="AB4" s="86">
        <f t="shared" si="1"/>
        <v>4000</v>
      </c>
      <c r="AC4" s="86">
        <f t="shared" si="1"/>
        <v>6000</v>
      </c>
      <c r="AD4" s="86">
        <f t="shared" si="1"/>
        <v>10000</v>
      </c>
      <c r="AE4" s="81">
        <v>200000</v>
      </c>
      <c r="AG4" s="86">
        <f t="shared" ref="AG4:AO4" si="2">$Q$4*AG2</f>
        <v>12000</v>
      </c>
      <c r="AH4" s="86">
        <f t="shared" si="2"/>
        <v>24000</v>
      </c>
      <c r="AI4" s="86">
        <f t="shared" si="2"/>
        <v>24000</v>
      </c>
      <c r="AJ4" s="86">
        <f t="shared" si="2"/>
        <v>30000</v>
      </c>
      <c r="AK4" s="86">
        <f t="shared" si="2"/>
        <v>36000</v>
      </c>
      <c r="AL4" s="86">
        <f t="shared" si="2"/>
        <v>26000</v>
      </c>
      <c r="AM4" s="86">
        <f t="shared" si="2"/>
        <v>12000</v>
      </c>
      <c r="AN4" s="86">
        <f t="shared" si="2"/>
        <v>6000</v>
      </c>
      <c r="AO4" s="86">
        <f t="shared" si="2"/>
        <v>10000</v>
      </c>
      <c r="AP4" s="71">
        <f>SUM(AG4:AO4)</f>
        <v>180000</v>
      </c>
    </row>
    <row r="5" spans="1:42" s="4" customFormat="1" x14ac:dyDescent="0.2">
      <c r="A5" s="88" t="s">
        <v>391</v>
      </c>
      <c r="D5" s="86">
        <f t="shared" ref="D5:O5" si="3">D4*30%</f>
        <v>3600</v>
      </c>
      <c r="E5" s="86">
        <f t="shared" si="3"/>
        <v>7200</v>
      </c>
      <c r="F5" s="86">
        <f t="shared" si="3"/>
        <v>7200</v>
      </c>
      <c r="G5" s="86">
        <f t="shared" si="3"/>
        <v>9000</v>
      </c>
      <c r="H5" s="86">
        <f t="shared" si="3"/>
        <v>10800</v>
      </c>
      <c r="I5" s="86">
        <f t="shared" si="3"/>
        <v>7800</v>
      </c>
      <c r="J5" s="86">
        <f t="shared" si="3"/>
        <v>3600</v>
      </c>
      <c r="K5" s="86">
        <f t="shared" si="3"/>
        <v>1800</v>
      </c>
      <c r="L5" s="86">
        <f t="shared" si="3"/>
        <v>3000</v>
      </c>
      <c r="M5" s="86">
        <f t="shared" si="3"/>
        <v>1200</v>
      </c>
      <c r="N5" s="86">
        <f t="shared" si="3"/>
        <v>1800</v>
      </c>
      <c r="O5" s="86">
        <f t="shared" si="3"/>
        <v>3000</v>
      </c>
      <c r="Q5" s="81">
        <f t="shared" ref="Q5" si="4">SUM(C5:O5)</f>
        <v>60000</v>
      </c>
      <c r="S5" s="86">
        <f t="shared" ref="S5:AD5" si="5">S4*30%</f>
        <v>3600</v>
      </c>
      <c r="T5" s="86">
        <f t="shared" si="5"/>
        <v>7200</v>
      </c>
      <c r="U5" s="86">
        <f t="shared" si="5"/>
        <v>7200</v>
      </c>
      <c r="V5" s="86">
        <f t="shared" si="5"/>
        <v>9000</v>
      </c>
      <c r="W5" s="86">
        <f t="shared" si="5"/>
        <v>10800</v>
      </c>
      <c r="X5" s="86">
        <f t="shared" si="5"/>
        <v>7800</v>
      </c>
      <c r="Y5" s="86">
        <f t="shared" si="5"/>
        <v>3600</v>
      </c>
      <c r="Z5" s="86">
        <f t="shared" si="5"/>
        <v>1800</v>
      </c>
      <c r="AA5" s="86">
        <f t="shared" si="5"/>
        <v>3000</v>
      </c>
      <c r="AB5" s="86">
        <f t="shared" si="5"/>
        <v>1200</v>
      </c>
      <c r="AC5" s="86">
        <f t="shared" si="5"/>
        <v>1800</v>
      </c>
      <c r="AD5" s="86">
        <f t="shared" si="5"/>
        <v>3000</v>
      </c>
      <c r="AE5" s="86">
        <f>SUM(S5:AD5)</f>
        <v>60000</v>
      </c>
      <c r="AF5" s="81"/>
      <c r="AG5" s="86">
        <f t="shared" ref="AG5:AO5" si="6">AG4*30%</f>
        <v>3600</v>
      </c>
      <c r="AH5" s="86">
        <f t="shared" si="6"/>
        <v>7200</v>
      </c>
      <c r="AI5" s="86">
        <f t="shared" si="6"/>
        <v>7200</v>
      </c>
      <c r="AJ5" s="86">
        <f t="shared" si="6"/>
        <v>9000</v>
      </c>
      <c r="AK5" s="86">
        <f t="shared" si="6"/>
        <v>10800</v>
      </c>
      <c r="AL5" s="86">
        <f t="shared" si="6"/>
        <v>7800</v>
      </c>
      <c r="AM5" s="86">
        <f t="shared" si="6"/>
        <v>3600</v>
      </c>
      <c r="AN5" s="86">
        <f t="shared" si="6"/>
        <v>1800</v>
      </c>
      <c r="AO5" s="86">
        <f t="shared" si="6"/>
        <v>3000</v>
      </c>
      <c r="AP5" s="71">
        <f t="shared" ref="AP5:AP8" si="7">SUM(AG5:AO5)</f>
        <v>54000</v>
      </c>
    </row>
    <row r="6" spans="1:42" s="4" customFormat="1" ht="5" customHeight="1" x14ac:dyDescent="0.2">
      <c r="A6" s="88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Q6" s="81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1"/>
      <c r="AG6" s="86"/>
      <c r="AH6" s="86"/>
      <c r="AI6" s="86"/>
      <c r="AJ6" s="86"/>
      <c r="AK6" s="86"/>
      <c r="AL6" s="86"/>
      <c r="AM6" s="86"/>
      <c r="AN6" s="86"/>
      <c r="AO6" s="86"/>
      <c r="AP6" s="71"/>
    </row>
    <row r="7" spans="1:42" s="4" customFormat="1" x14ac:dyDescent="0.2">
      <c r="A7" s="4" t="s">
        <v>405</v>
      </c>
      <c r="B7" s="64">
        <v>2.8</v>
      </c>
      <c r="C7" s="97" t="s">
        <v>412</v>
      </c>
      <c r="D7" s="11">
        <f t="shared" ref="D7:O7" si="8">$B$7*D4</f>
        <v>33600</v>
      </c>
      <c r="E7" s="11">
        <f t="shared" si="8"/>
        <v>67200</v>
      </c>
      <c r="F7" s="11">
        <f t="shared" si="8"/>
        <v>67200</v>
      </c>
      <c r="G7" s="11">
        <f t="shared" si="8"/>
        <v>84000</v>
      </c>
      <c r="H7" s="11">
        <f t="shared" si="8"/>
        <v>100800</v>
      </c>
      <c r="I7" s="11">
        <f t="shared" si="8"/>
        <v>72800</v>
      </c>
      <c r="J7" s="11">
        <f t="shared" si="8"/>
        <v>33600</v>
      </c>
      <c r="K7" s="11">
        <f t="shared" si="8"/>
        <v>16800</v>
      </c>
      <c r="L7" s="11">
        <f t="shared" si="8"/>
        <v>28000</v>
      </c>
      <c r="M7" s="11">
        <f t="shared" si="8"/>
        <v>11200</v>
      </c>
      <c r="N7" s="11">
        <f t="shared" si="8"/>
        <v>16800</v>
      </c>
      <c r="O7" s="11">
        <f t="shared" si="8"/>
        <v>28000</v>
      </c>
      <c r="Q7" s="9">
        <f>Q4*B7</f>
        <v>560000</v>
      </c>
      <c r="R7" s="64">
        <f>B7*102%</f>
        <v>2.8559999999999999</v>
      </c>
      <c r="S7" s="11">
        <f t="shared" ref="S7:AD7" si="9">$R$7*S4</f>
        <v>34272</v>
      </c>
      <c r="T7" s="11">
        <f t="shared" si="9"/>
        <v>68544</v>
      </c>
      <c r="U7" s="11">
        <f t="shared" si="9"/>
        <v>68544</v>
      </c>
      <c r="V7" s="11">
        <f t="shared" si="9"/>
        <v>85680</v>
      </c>
      <c r="W7" s="11">
        <f t="shared" si="9"/>
        <v>102816</v>
      </c>
      <c r="X7" s="11">
        <f t="shared" si="9"/>
        <v>74256</v>
      </c>
      <c r="Y7" s="11">
        <f t="shared" si="9"/>
        <v>34272</v>
      </c>
      <c r="Z7" s="11">
        <f t="shared" si="9"/>
        <v>17136</v>
      </c>
      <c r="AA7" s="11">
        <f t="shared" si="9"/>
        <v>28560</v>
      </c>
      <c r="AB7" s="11">
        <f t="shared" si="9"/>
        <v>11424</v>
      </c>
      <c r="AC7" s="11">
        <f t="shared" si="9"/>
        <v>17136</v>
      </c>
      <c r="AD7" s="11">
        <f t="shared" si="9"/>
        <v>28560</v>
      </c>
      <c r="AE7" s="9">
        <f>SUM(S7:AD7)</f>
        <v>571200</v>
      </c>
      <c r="AF7" s="64">
        <f>R7*102%</f>
        <v>2.9131199999999997</v>
      </c>
      <c r="AG7" s="11">
        <f t="shared" ref="AG7:AO7" si="10">$AF$7*AG4</f>
        <v>34957.439999999995</v>
      </c>
      <c r="AH7" s="11">
        <f t="shared" si="10"/>
        <v>69914.87999999999</v>
      </c>
      <c r="AI7" s="11">
        <f t="shared" si="10"/>
        <v>69914.87999999999</v>
      </c>
      <c r="AJ7" s="11">
        <f t="shared" si="10"/>
        <v>87393.599999999991</v>
      </c>
      <c r="AK7" s="11">
        <f t="shared" si="10"/>
        <v>104872.31999999999</v>
      </c>
      <c r="AL7" s="11">
        <f t="shared" si="10"/>
        <v>75741.119999999995</v>
      </c>
      <c r="AM7" s="11">
        <f t="shared" si="10"/>
        <v>34957.439999999995</v>
      </c>
      <c r="AN7" s="11">
        <f t="shared" si="10"/>
        <v>17478.719999999998</v>
      </c>
      <c r="AO7" s="11">
        <f t="shared" si="10"/>
        <v>29131.199999999997</v>
      </c>
      <c r="AP7" s="71">
        <f t="shared" si="7"/>
        <v>524361.59999999986</v>
      </c>
    </row>
    <row r="8" spans="1:42" s="88" customFormat="1" x14ac:dyDescent="0.2">
      <c r="A8" s="88" t="s">
        <v>404</v>
      </c>
      <c r="B8" s="94">
        <v>8.5</v>
      </c>
      <c r="C8" s="97" t="s">
        <v>412</v>
      </c>
      <c r="D8" s="95">
        <f t="shared" ref="D8:L8" si="11">D5*$B$8</f>
        <v>30600</v>
      </c>
      <c r="E8" s="95">
        <f t="shared" si="11"/>
        <v>61200</v>
      </c>
      <c r="F8" s="95">
        <f t="shared" si="11"/>
        <v>61200</v>
      </c>
      <c r="G8" s="95">
        <f t="shared" si="11"/>
        <v>76500</v>
      </c>
      <c r="H8" s="95">
        <f t="shared" si="11"/>
        <v>91800</v>
      </c>
      <c r="I8" s="95">
        <f t="shared" si="11"/>
        <v>66300</v>
      </c>
      <c r="J8" s="95">
        <f t="shared" si="11"/>
        <v>30600</v>
      </c>
      <c r="K8" s="95">
        <f t="shared" si="11"/>
        <v>15300</v>
      </c>
      <c r="L8" s="95">
        <f t="shared" si="11"/>
        <v>25500</v>
      </c>
      <c r="M8" s="111" t="s">
        <v>413</v>
      </c>
      <c r="N8" s="112"/>
      <c r="O8" s="113"/>
      <c r="Q8" s="96">
        <f>Q5*B8</f>
        <v>510000</v>
      </c>
      <c r="R8" s="64">
        <f>B8*102%</f>
        <v>8.67</v>
      </c>
      <c r="S8" s="95">
        <f t="shared" ref="S8:AA8" si="12">S5*$R$8</f>
        <v>31212</v>
      </c>
      <c r="T8" s="95">
        <f t="shared" si="12"/>
        <v>62424</v>
      </c>
      <c r="U8" s="95">
        <f t="shared" si="12"/>
        <v>62424</v>
      </c>
      <c r="V8" s="95">
        <f t="shared" si="12"/>
        <v>78030</v>
      </c>
      <c r="W8" s="95">
        <f t="shared" si="12"/>
        <v>93636</v>
      </c>
      <c r="X8" s="95">
        <f t="shared" si="12"/>
        <v>67626</v>
      </c>
      <c r="Y8" s="95">
        <f t="shared" si="12"/>
        <v>31212</v>
      </c>
      <c r="Z8" s="95">
        <f t="shared" si="12"/>
        <v>15606</v>
      </c>
      <c r="AA8" s="95">
        <f t="shared" si="12"/>
        <v>26010</v>
      </c>
      <c r="AB8" s="111" t="s">
        <v>413</v>
      </c>
      <c r="AC8" s="112"/>
      <c r="AD8" s="113"/>
      <c r="AE8" s="9">
        <f>SUM(S8:AD8)</f>
        <v>468180</v>
      </c>
      <c r="AF8" s="64">
        <f>R8*102%</f>
        <v>8.8434000000000008</v>
      </c>
      <c r="AG8" s="95">
        <f>AG5*$AF$8</f>
        <v>31836.240000000002</v>
      </c>
      <c r="AH8" s="95">
        <f t="shared" ref="AH8:AO8" si="13">AH5*$AF$8</f>
        <v>63672.480000000003</v>
      </c>
      <c r="AI8" s="95">
        <f t="shared" si="13"/>
        <v>63672.480000000003</v>
      </c>
      <c r="AJ8" s="95">
        <f t="shared" si="13"/>
        <v>79590.600000000006</v>
      </c>
      <c r="AK8" s="95">
        <f t="shared" si="13"/>
        <v>95508.720000000016</v>
      </c>
      <c r="AL8" s="95">
        <f t="shared" si="13"/>
        <v>68978.52</v>
      </c>
      <c r="AM8" s="95">
        <f t="shared" si="13"/>
        <v>31836.240000000002</v>
      </c>
      <c r="AN8" s="95">
        <f t="shared" si="13"/>
        <v>15918.12</v>
      </c>
      <c r="AO8" s="95">
        <f t="shared" si="13"/>
        <v>26530.2</v>
      </c>
      <c r="AP8" s="71">
        <f t="shared" si="7"/>
        <v>477543.60000000003</v>
      </c>
    </row>
    <row r="9" spans="1:42" s="82" customFormat="1" x14ac:dyDescent="0.2">
      <c r="B9" s="83"/>
      <c r="Q9" s="84"/>
      <c r="AE9" s="84"/>
      <c r="AP9" s="85"/>
    </row>
    <row r="10" spans="1:42" x14ac:dyDescent="0.2">
      <c r="A10" s="3" t="s">
        <v>167</v>
      </c>
      <c r="AP10" s="70"/>
    </row>
    <row r="11" spans="1:42" x14ac:dyDescent="0.2">
      <c r="A11" s="82" t="s">
        <v>414</v>
      </c>
      <c r="C11" s="2"/>
      <c r="D11" s="2"/>
      <c r="E11" s="2"/>
      <c r="F11" s="2"/>
      <c r="G11" s="2">
        <f t="shared" ref="G11:O11" si="14">$Q7*G2</f>
        <v>84000</v>
      </c>
      <c r="H11" s="2">
        <f t="shared" si="14"/>
        <v>100800</v>
      </c>
      <c r="I11" s="2">
        <f t="shared" si="14"/>
        <v>72800</v>
      </c>
      <c r="J11" s="2">
        <f t="shared" si="14"/>
        <v>33600</v>
      </c>
      <c r="K11" s="2">
        <f t="shared" si="14"/>
        <v>16800</v>
      </c>
      <c r="L11" s="2">
        <f t="shared" si="14"/>
        <v>28000</v>
      </c>
      <c r="M11" s="2">
        <f t="shared" si="14"/>
        <v>11200</v>
      </c>
      <c r="N11" s="2">
        <f t="shared" si="14"/>
        <v>16800</v>
      </c>
      <c r="O11" s="2">
        <f t="shared" si="14"/>
        <v>28000</v>
      </c>
      <c r="Q11" s="9">
        <f t="shared" ref="Q11:Q17" si="15">SUM(C11:O11)</f>
        <v>392000</v>
      </c>
      <c r="R11" s="1"/>
      <c r="S11" s="2">
        <f t="shared" ref="S11:AD11" si="16">S7</f>
        <v>34272</v>
      </c>
      <c r="T11" s="2">
        <f t="shared" si="16"/>
        <v>68544</v>
      </c>
      <c r="U11" s="2">
        <f t="shared" si="16"/>
        <v>68544</v>
      </c>
      <c r="V11" s="2">
        <f t="shared" si="16"/>
        <v>85680</v>
      </c>
      <c r="W11" s="2">
        <f t="shared" si="16"/>
        <v>102816</v>
      </c>
      <c r="X11" s="2">
        <f t="shared" si="16"/>
        <v>74256</v>
      </c>
      <c r="Y11" s="2">
        <f t="shared" si="16"/>
        <v>34272</v>
      </c>
      <c r="Z11" s="2">
        <f t="shared" si="16"/>
        <v>17136</v>
      </c>
      <c r="AA11" s="2">
        <f t="shared" si="16"/>
        <v>28560</v>
      </c>
      <c r="AB11" s="2">
        <f t="shared" si="16"/>
        <v>11424</v>
      </c>
      <c r="AC11" s="2">
        <f t="shared" si="16"/>
        <v>17136</v>
      </c>
      <c r="AD11" s="2">
        <f t="shared" si="16"/>
        <v>28560</v>
      </c>
      <c r="AE11" s="9">
        <f t="shared" ref="AE11:AE17" si="17">SUM(S11:AD11)</f>
        <v>571200</v>
      </c>
      <c r="AG11" s="2">
        <f t="shared" ref="AG11:AO11" si="18">AG7</f>
        <v>34957.439999999995</v>
      </c>
      <c r="AH11" s="2">
        <f t="shared" si="18"/>
        <v>69914.87999999999</v>
      </c>
      <c r="AI11" s="2">
        <f t="shared" si="18"/>
        <v>69914.87999999999</v>
      </c>
      <c r="AJ11" s="2">
        <f t="shared" si="18"/>
        <v>87393.599999999991</v>
      </c>
      <c r="AK11" s="2">
        <f t="shared" si="18"/>
        <v>104872.31999999999</v>
      </c>
      <c r="AL11" s="2">
        <f t="shared" si="18"/>
        <v>75741.119999999995</v>
      </c>
      <c r="AM11" s="2">
        <f t="shared" si="18"/>
        <v>34957.439999999995</v>
      </c>
      <c r="AN11" s="2">
        <f t="shared" si="18"/>
        <v>17478.719999999998</v>
      </c>
      <c r="AO11" s="2">
        <f t="shared" si="18"/>
        <v>29131.199999999997</v>
      </c>
      <c r="AP11" s="71">
        <f t="shared" ref="AP11:AP17" si="19">SUM(AG11:AO11)</f>
        <v>524361.59999999986</v>
      </c>
    </row>
    <row r="12" spans="1:42" s="4" customFormat="1" x14ac:dyDescent="0.2">
      <c r="A12" s="88" t="s">
        <v>411</v>
      </c>
      <c r="B12" s="97"/>
      <c r="G12" s="11">
        <f>G8</f>
        <v>76500</v>
      </c>
      <c r="H12" s="11">
        <f t="shared" ref="H12:L12" si="20">H8</f>
        <v>91800</v>
      </c>
      <c r="I12" s="11">
        <f t="shared" si="20"/>
        <v>66300</v>
      </c>
      <c r="J12" s="11">
        <f t="shared" si="20"/>
        <v>30600</v>
      </c>
      <c r="K12" s="11">
        <f t="shared" si="20"/>
        <v>15300</v>
      </c>
      <c r="L12" s="11">
        <f t="shared" si="20"/>
        <v>25500</v>
      </c>
      <c r="M12" s="11"/>
      <c r="N12" s="11"/>
      <c r="O12" s="11"/>
      <c r="Q12" s="9">
        <f>SUM(C12:O12)</f>
        <v>306000</v>
      </c>
      <c r="S12" s="11">
        <f>S8</f>
        <v>31212</v>
      </c>
      <c r="T12" s="11">
        <f t="shared" ref="T12:AA12" si="21">T8</f>
        <v>62424</v>
      </c>
      <c r="U12" s="11">
        <f t="shared" si="21"/>
        <v>62424</v>
      </c>
      <c r="V12" s="11">
        <f t="shared" si="21"/>
        <v>78030</v>
      </c>
      <c r="W12" s="11">
        <f t="shared" si="21"/>
        <v>93636</v>
      </c>
      <c r="X12" s="11">
        <f t="shared" si="21"/>
        <v>67626</v>
      </c>
      <c r="Y12" s="11">
        <f t="shared" si="21"/>
        <v>31212</v>
      </c>
      <c r="Z12" s="11">
        <f t="shared" si="21"/>
        <v>15606</v>
      </c>
      <c r="AA12" s="11">
        <f t="shared" si="21"/>
        <v>26010</v>
      </c>
      <c r="AB12" s="11"/>
      <c r="AC12" s="11"/>
      <c r="AD12" s="11"/>
      <c r="AE12" s="9">
        <f>SUM(S12:AD12)</f>
        <v>468180</v>
      </c>
      <c r="AG12" s="11">
        <f>AG8</f>
        <v>31836.240000000002</v>
      </c>
      <c r="AH12" s="11">
        <f t="shared" ref="AH12:AO12" si="22">AH8</f>
        <v>63672.480000000003</v>
      </c>
      <c r="AI12" s="11">
        <f t="shared" si="22"/>
        <v>63672.480000000003</v>
      </c>
      <c r="AJ12" s="11">
        <f t="shared" si="22"/>
        <v>79590.600000000006</v>
      </c>
      <c r="AK12" s="11">
        <f t="shared" si="22"/>
        <v>95508.720000000016</v>
      </c>
      <c r="AL12" s="11">
        <f t="shared" si="22"/>
        <v>68978.52</v>
      </c>
      <c r="AM12" s="11">
        <f>AM8</f>
        <v>31836.240000000002</v>
      </c>
      <c r="AN12" s="11">
        <f t="shared" si="22"/>
        <v>15918.12</v>
      </c>
      <c r="AO12" s="11">
        <f t="shared" si="22"/>
        <v>26530.2</v>
      </c>
      <c r="AP12" s="71">
        <f>SUM(AG12:AO12)</f>
        <v>477543.60000000003</v>
      </c>
    </row>
    <row r="13" spans="1:42" x14ac:dyDescent="0.2">
      <c r="A13" t="s">
        <v>248</v>
      </c>
      <c r="B13" s="2">
        <v>60000</v>
      </c>
      <c r="C13" s="2"/>
      <c r="D13" s="2"/>
      <c r="E13" s="2"/>
      <c r="F13" s="2"/>
      <c r="G13" s="2">
        <f t="shared" ref="G13:O13" si="23">$B13*G2</f>
        <v>9000</v>
      </c>
      <c r="H13" s="2">
        <f t="shared" si="23"/>
        <v>10800</v>
      </c>
      <c r="I13" s="2">
        <f t="shared" si="23"/>
        <v>7800</v>
      </c>
      <c r="J13" s="2">
        <f t="shared" si="23"/>
        <v>3600</v>
      </c>
      <c r="K13" s="2">
        <f t="shared" si="23"/>
        <v>1800</v>
      </c>
      <c r="L13" s="2">
        <f t="shared" si="23"/>
        <v>3000</v>
      </c>
      <c r="M13" s="2">
        <f t="shared" si="23"/>
        <v>1200</v>
      </c>
      <c r="N13" s="2">
        <f t="shared" si="23"/>
        <v>1800</v>
      </c>
      <c r="O13" s="2">
        <f t="shared" si="23"/>
        <v>3000</v>
      </c>
      <c r="Q13" s="9">
        <f t="shared" si="15"/>
        <v>42000</v>
      </c>
      <c r="R13" s="1">
        <v>1.02</v>
      </c>
      <c r="S13" s="2">
        <f t="shared" ref="S13:AD13" si="24">$B13*S2*$R13</f>
        <v>3672</v>
      </c>
      <c r="T13" s="2">
        <f t="shared" si="24"/>
        <v>7344</v>
      </c>
      <c r="U13" s="2">
        <f t="shared" si="24"/>
        <v>7344</v>
      </c>
      <c r="V13" s="2">
        <f t="shared" si="24"/>
        <v>9180</v>
      </c>
      <c r="W13" s="2">
        <f t="shared" si="24"/>
        <v>11016</v>
      </c>
      <c r="X13" s="2">
        <f t="shared" si="24"/>
        <v>7956</v>
      </c>
      <c r="Y13" s="2">
        <f t="shared" si="24"/>
        <v>3672</v>
      </c>
      <c r="Z13" s="2">
        <f t="shared" si="24"/>
        <v>1836</v>
      </c>
      <c r="AA13" s="2">
        <f t="shared" si="24"/>
        <v>3060</v>
      </c>
      <c r="AB13" s="2">
        <f t="shared" si="24"/>
        <v>1224</v>
      </c>
      <c r="AC13" s="2">
        <f t="shared" si="24"/>
        <v>1836</v>
      </c>
      <c r="AD13" s="2">
        <f t="shared" si="24"/>
        <v>3060</v>
      </c>
      <c r="AE13" s="9">
        <f t="shared" si="17"/>
        <v>61200</v>
      </c>
      <c r="AF13" s="1">
        <v>1.02</v>
      </c>
      <c r="AG13" s="2">
        <f t="shared" ref="AG13:AO13" si="25">$AE13*AG2*$R13</f>
        <v>3745.44</v>
      </c>
      <c r="AH13" s="2">
        <f t="shared" si="25"/>
        <v>7490.88</v>
      </c>
      <c r="AI13" s="2">
        <f t="shared" si="25"/>
        <v>7490.88</v>
      </c>
      <c r="AJ13" s="2">
        <f t="shared" si="25"/>
        <v>9363.6</v>
      </c>
      <c r="AK13" s="2">
        <f t="shared" si="25"/>
        <v>11236.32</v>
      </c>
      <c r="AL13" s="2">
        <f t="shared" si="25"/>
        <v>8115.12</v>
      </c>
      <c r="AM13" s="2">
        <f t="shared" si="25"/>
        <v>3745.44</v>
      </c>
      <c r="AN13" s="2">
        <f t="shared" si="25"/>
        <v>1872.72</v>
      </c>
      <c r="AO13" s="2">
        <f t="shared" si="25"/>
        <v>3121.2000000000003</v>
      </c>
      <c r="AP13" s="71">
        <f t="shared" si="19"/>
        <v>56181.600000000006</v>
      </c>
    </row>
    <row r="14" spans="1:42" x14ac:dyDescent="0.2">
      <c r="A14" t="s">
        <v>168</v>
      </c>
      <c r="B14" s="2">
        <v>35000</v>
      </c>
      <c r="G14" s="2"/>
      <c r="H14" s="2">
        <v>35000</v>
      </c>
      <c r="I14" s="2"/>
      <c r="J14" s="2"/>
      <c r="K14" s="2"/>
      <c r="Q14" s="9">
        <f t="shared" si="15"/>
        <v>35000</v>
      </c>
      <c r="V14" s="2"/>
      <c r="W14" s="2">
        <v>35000</v>
      </c>
      <c r="X14" s="2"/>
      <c r="Y14" s="2"/>
      <c r="Z14" s="2"/>
      <c r="AE14" s="9">
        <f t="shared" si="17"/>
        <v>35000</v>
      </c>
      <c r="AJ14" s="2"/>
      <c r="AK14" s="2">
        <v>35000</v>
      </c>
      <c r="AL14" s="2"/>
      <c r="AM14" s="2"/>
      <c r="AN14" s="2"/>
      <c r="AP14" s="71">
        <f t="shared" si="19"/>
        <v>35000</v>
      </c>
    </row>
    <row r="15" spans="1:42" x14ac:dyDescent="0.2">
      <c r="A15" t="s">
        <v>260</v>
      </c>
      <c r="B15" s="2">
        <f>Q15</f>
        <v>107520</v>
      </c>
      <c r="G15" s="2">
        <f>Notes!$K2/2</f>
        <v>33600</v>
      </c>
      <c r="H15" s="2">
        <f>Notes!$K2/2</f>
        <v>33600</v>
      </c>
      <c r="I15" s="2"/>
      <c r="J15" s="2">
        <f>Notes!$K3/2</f>
        <v>20160</v>
      </c>
      <c r="K15" s="2">
        <f>Notes!$K3/2</f>
        <v>20160</v>
      </c>
      <c r="Q15" s="9">
        <f t="shared" si="15"/>
        <v>107520</v>
      </c>
      <c r="V15" s="2">
        <f>Notes!$K2/2</f>
        <v>33600</v>
      </c>
      <c r="W15" s="2">
        <f>Notes!$K2/2</f>
        <v>33600</v>
      </c>
      <c r="X15" s="2"/>
      <c r="Y15" s="2">
        <f>Notes!$K3/2</f>
        <v>20160</v>
      </c>
      <c r="Z15" s="2">
        <f>Notes!$K3/2</f>
        <v>20160</v>
      </c>
      <c r="AE15" s="9">
        <f t="shared" si="17"/>
        <v>107520</v>
      </c>
      <c r="AJ15" s="2">
        <f>Notes!$K2/2</f>
        <v>33600</v>
      </c>
      <c r="AK15" s="2">
        <f>Notes!$K2/2</f>
        <v>33600</v>
      </c>
      <c r="AL15" s="2"/>
      <c r="AM15" s="2">
        <f>Notes!$K3/2</f>
        <v>20160</v>
      </c>
      <c r="AN15" s="2">
        <f>Notes!$K3/2</f>
        <v>20160</v>
      </c>
      <c r="AP15" s="71">
        <f t="shared" si="19"/>
        <v>107520</v>
      </c>
    </row>
    <row r="16" spans="1:42" x14ac:dyDescent="0.2">
      <c r="A16" t="s">
        <v>213</v>
      </c>
      <c r="B16" s="2">
        <v>80000</v>
      </c>
      <c r="G16" s="11">
        <v>15000</v>
      </c>
      <c r="H16" s="11">
        <v>40000</v>
      </c>
      <c r="I16" s="11">
        <v>5000</v>
      </c>
      <c r="J16" s="11">
        <v>5000</v>
      </c>
      <c r="K16" s="11">
        <v>3000</v>
      </c>
      <c r="L16" s="11">
        <v>12000</v>
      </c>
      <c r="Q16" s="9">
        <f t="shared" si="15"/>
        <v>80000</v>
      </c>
      <c r="V16" s="11">
        <v>15000</v>
      </c>
      <c r="W16" s="11">
        <v>50000</v>
      </c>
      <c r="X16" s="11">
        <v>5000</v>
      </c>
      <c r="Y16" s="11">
        <v>5000</v>
      </c>
      <c r="Z16" s="11">
        <v>3000</v>
      </c>
      <c r="AA16" s="11">
        <v>12000</v>
      </c>
      <c r="AE16" s="9">
        <f t="shared" si="17"/>
        <v>90000</v>
      </c>
      <c r="AJ16" s="11">
        <v>15000</v>
      </c>
      <c r="AK16" s="11">
        <v>60000</v>
      </c>
      <c r="AL16" s="11">
        <v>5000</v>
      </c>
      <c r="AM16" s="11">
        <v>5000</v>
      </c>
      <c r="AN16" s="11">
        <v>3000</v>
      </c>
      <c r="AO16" s="11">
        <v>12000</v>
      </c>
      <c r="AP16" s="71">
        <f t="shared" si="19"/>
        <v>100000</v>
      </c>
    </row>
    <row r="17" spans="1:42" x14ac:dyDescent="0.2">
      <c r="A17" t="s">
        <v>257</v>
      </c>
      <c r="B17" s="2">
        <v>12000</v>
      </c>
      <c r="G17" s="11"/>
      <c r="H17" s="11"/>
      <c r="I17" s="11"/>
      <c r="J17" s="11">
        <f t="shared" ref="J17:O17" si="26">$B17/12</f>
        <v>1000</v>
      </c>
      <c r="K17" s="11">
        <f t="shared" si="26"/>
        <v>1000</v>
      </c>
      <c r="L17" s="11">
        <f t="shared" si="26"/>
        <v>1000</v>
      </c>
      <c r="M17" s="11">
        <f t="shared" si="26"/>
        <v>1000</v>
      </c>
      <c r="N17" s="11">
        <f t="shared" si="26"/>
        <v>1000</v>
      </c>
      <c r="O17" s="11">
        <f t="shared" si="26"/>
        <v>1000</v>
      </c>
      <c r="Q17" s="9">
        <f t="shared" si="15"/>
        <v>6000</v>
      </c>
      <c r="R17" s="1">
        <v>1.02</v>
      </c>
      <c r="S17" s="11">
        <f t="shared" ref="S17:AD17" si="27">$B17/12*$R17</f>
        <v>1020</v>
      </c>
      <c r="T17" s="11">
        <f t="shared" si="27"/>
        <v>1020</v>
      </c>
      <c r="U17" s="11">
        <f t="shared" si="27"/>
        <v>1020</v>
      </c>
      <c r="V17" s="11">
        <f t="shared" si="27"/>
        <v>1020</v>
      </c>
      <c r="W17" s="11">
        <f t="shared" si="27"/>
        <v>1020</v>
      </c>
      <c r="X17" s="11">
        <f t="shared" si="27"/>
        <v>1020</v>
      </c>
      <c r="Y17" s="11">
        <f t="shared" si="27"/>
        <v>1020</v>
      </c>
      <c r="Z17" s="11">
        <f t="shared" si="27"/>
        <v>1020</v>
      </c>
      <c r="AA17" s="11">
        <f t="shared" si="27"/>
        <v>1020</v>
      </c>
      <c r="AB17" s="11">
        <f t="shared" si="27"/>
        <v>1020</v>
      </c>
      <c r="AC17" s="11">
        <f t="shared" si="27"/>
        <v>1020</v>
      </c>
      <c r="AD17" s="11">
        <f t="shared" si="27"/>
        <v>1020</v>
      </c>
      <c r="AE17" s="9">
        <f t="shared" si="17"/>
        <v>12240</v>
      </c>
      <c r="AF17" s="1">
        <v>1.02</v>
      </c>
      <c r="AG17" s="11">
        <f t="shared" ref="AG17:AO17" si="28">$AE17/12*$AF17</f>
        <v>1040.4000000000001</v>
      </c>
      <c r="AH17" s="11">
        <f t="shared" si="28"/>
        <v>1040.4000000000001</v>
      </c>
      <c r="AI17" s="11">
        <f t="shared" si="28"/>
        <v>1040.4000000000001</v>
      </c>
      <c r="AJ17" s="11">
        <f t="shared" si="28"/>
        <v>1040.4000000000001</v>
      </c>
      <c r="AK17" s="11">
        <f t="shared" si="28"/>
        <v>1040.4000000000001</v>
      </c>
      <c r="AL17" s="11">
        <f t="shared" si="28"/>
        <v>1040.4000000000001</v>
      </c>
      <c r="AM17" s="11">
        <f t="shared" si="28"/>
        <v>1040.4000000000001</v>
      </c>
      <c r="AN17" s="11">
        <f t="shared" si="28"/>
        <v>1040.4000000000001</v>
      </c>
      <c r="AO17" s="11">
        <f t="shared" si="28"/>
        <v>1040.4000000000001</v>
      </c>
      <c r="AP17" s="71">
        <f t="shared" si="19"/>
        <v>9363.5999999999985</v>
      </c>
    </row>
    <row r="18" spans="1:42" ht="9" customHeight="1" x14ac:dyDescent="0.2">
      <c r="AP18" s="70"/>
    </row>
    <row r="19" spans="1:42" s="3" customFormat="1" x14ac:dyDescent="0.2">
      <c r="A19" s="101" t="s">
        <v>186</v>
      </c>
      <c r="B19" s="101"/>
      <c r="C19" s="101"/>
      <c r="D19" s="101"/>
      <c r="E19" s="101"/>
      <c r="F19" s="102"/>
      <c r="G19" s="102">
        <f t="shared" ref="G19:O19" si="29">SUM(G11:G18)</f>
        <v>218100</v>
      </c>
      <c r="H19" s="102">
        <f t="shared" si="29"/>
        <v>312000</v>
      </c>
      <c r="I19" s="102">
        <f t="shared" si="29"/>
        <v>151900</v>
      </c>
      <c r="J19" s="102">
        <f t="shared" si="29"/>
        <v>93960</v>
      </c>
      <c r="K19" s="102">
        <f t="shared" si="29"/>
        <v>58060</v>
      </c>
      <c r="L19" s="102">
        <f t="shared" si="29"/>
        <v>69500</v>
      </c>
      <c r="M19" s="102">
        <f t="shared" si="29"/>
        <v>13400</v>
      </c>
      <c r="N19" s="102">
        <f t="shared" si="29"/>
        <v>19600</v>
      </c>
      <c r="O19" s="102">
        <f t="shared" si="29"/>
        <v>32000</v>
      </c>
      <c r="P19" s="101"/>
      <c r="Q19" s="102">
        <f>SUM(Q11:Q18)</f>
        <v>968520</v>
      </c>
      <c r="R19" s="101"/>
      <c r="S19" s="102">
        <f t="shared" ref="S19:AD19" si="30">SUM(S11:S18)</f>
        <v>70176</v>
      </c>
      <c r="T19" s="102">
        <f t="shared" si="30"/>
        <v>139332</v>
      </c>
      <c r="U19" s="102">
        <f t="shared" si="30"/>
        <v>139332</v>
      </c>
      <c r="V19" s="102">
        <f t="shared" si="30"/>
        <v>222510</v>
      </c>
      <c r="W19" s="102">
        <f t="shared" si="30"/>
        <v>327088</v>
      </c>
      <c r="X19" s="102">
        <f t="shared" si="30"/>
        <v>155858</v>
      </c>
      <c r="Y19" s="102">
        <f t="shared" si="30"/>
        <v>95336</v>
      </c>
      <c r="Z19" s="102">
        <f t="shared" si="30"/>
        <v>58758</v>
      </c>
      <c r="AA19" s="102">
        <f t="shared" si="30"/>
        <v>70650</v>
      </c>
      <c r="AB19" s="102">
        <f t="shared" si="30"/>
        <v>13668</v>
      </c>
      <c r="AC19" s="102">
        <f t="shared" si="30"/>
        <v>19992</v>
      </c>
      <c r="AD19" s="102">
        <f t="shared" si="30"/>
        <v>32640</v>
      </c>
      <c r="AE19" s="102">
        <f>SUM(S19:AD19)</f>
        <v>1345340</v>
      </c>
      <c r="AF19" s="101"/>
      <c r="AG19" s="102">
        <f t="shared" ref="AG19:AO19" si="31">SUM(AG11:AG18)</f>
        <v>71579.51999999999</v>
      </c>
      <c r="AH19" s="102">
        <f t="shared" si="31"/>
        <v>142118.63999999998</v>
      </c>
      <c r="AI19" s="102">
        <f t="shared" si="31"/>
        <v>142118.63999999998</v>
      </c>
      <c r="AJ19" s="102">
        <f t="shared" si="31"/>
        <v>225988.2</v>
      </c>
      <c r="AK19" s="102">
        <f t="shared" si="31"/>
        <v>341257.76</v>
      </c>
      <c r="AL19" s="102">
        <f t="shared" si="31"/>
        <v>158875.16</v>
      </c>
      <c r="AM19" s="102">
        <f t="shared" si="31"/>
        <v>96739.51999999999</v>
      </c>
      <c r="AN19" s="102">
        <f t="shared" si="31"/>
        <v>59469.96</v>
      </c>
      <c r="AO19" s="102">
        <f t="shared" si="31"/>
        <v>71822.999999999985</v>
      </c>
      <c r="AP19" s="103">
        <f>SUM(AG19:AO19)</f>
        <v>1309970.3999999999</v>
      </c>
    </row>
    <row r="20" spans="1:42" x14ac:dyDescent="0.2">
      <c r="AP20" s="70"/>
    </row>
    <row r="21" spans="1:42" x14ac:dyDescent="0.2">
      <c r="A21" s="3" t="s">
        <v>183</v>
      </c>
      <c r="AP21" s="70"/>
    </row>
    <row r="22" spans="1:42" x14ac:dyDescent="0.2">
      <c r="A22" t="s">
        <v>249</v>
      </c>
      <c r="B22" s="1">
        <v>0.35</v>
      </c>
      <c r="C22" t="s">
        <v>385</v>
      </c>
      <c r="F22" s="2"/>
      <c r="G22" s="2">
        <f>G11*35%</f>
        <v>29399.999999999996</v>
      </c>
      <c r="H22" s="2">
        <f>H11*35%</f>
        <v>35280</v>
      </c>
      <c r="I22" s="2">
        <f>I11*35%</f>
        <v>25480</v>
      </c>
      <c r="J22" s="2">
        <f>J11*35%</f>
        <v>11760</v>
      </c>
      <c r="K22" s="2">
        <v>7000</v>
      </c>
      <c r="L22" s="2">
        <f>L11*35%</f>
        <v>9800</v>
      </c>
      <c r="M22" s="2">
        <v>7000</v>
      </c>
      <c r="N22" s="2">
        <v>7000</v>
      </c>
      <c r="O22" s="2">
        <f>O11*35%</f>
        <v>9800</v>
      </c>
      <c r="Q22" s="9">
        <f t="shared" ref="Q22:Q33" si="32">SUM(C22:O22)</f>
        <v>142520</v>
      </c>
      <c r="R22" s="26" t="s">
        <v>283</v>
      </c>
      <c r="S22" s="2">
        <f t="shared" ref="S22:Y22" si="33">S11*$B22</f>
        <v>11995.199999999999</v>
      </c>
      <c r="T22" s="2">
        <f t="shared" si="33"/>
        <v>23990.399999999998</v>
      </c>
      <c r="U22" s="2">
        <f t="shared" si="33"/>
        <v>23990.399999999998</v>
      </c>
      <c r="V22" s="2">
        <f t="shared" si="33"/>
        <v>29987.999999999996</v>
      </c>
      <c r="W22" s="2">
        <f t="shared" si="33"/>
        <v>35985.599999999999</v>
      </c>
      <c r="X22" s="2">
        <f t="shared" si="33"/>
        <v>25989.599999999999</v>
      </c>
      <c r="Y22" s="2">
        <f t="shared" si="33"/>
        <v>11995.199999999999</v>
      </c>
      <c r="Z22" s="2">
        <v>7000</v>
      </c>
      <c r="AA22" s="2">
        <f>AA11*$B22</f>
        <v>9996</v>
      </c>
      <c r="AB22" s="2">
        <v>7000</v>
      </c>
      <c r="AC22" s="2">
        <v>7000</v>
      </c>
      <c r="AD22" s="2">
        <f>AD11*$B22</f>
        <v>9996</v>
      </c>
      <c r="AE22" s="9">
        <f t="shared" ref="AE22:AE37" si="34">SUM(S22:AD22)</f>
        <v>204926.40000000002</v>
      </c>
      <c r="AF22" s="26" t="s">
        <v>283</v>
      </c>
      <c r="AG22" s="2">
        <f t="shared" ref="AG22:AM22" si="35">AG11*$B22</f>
        <v>12235.103999999998</v>
      </c>
      <c r="AH22" s="2">
        <f t="shared" si="35"/>
        <v>24470.207999999995</v>
      </c>
      <c r="AI22" s="2">
        <f t="shared" si="35"/>
        <v>24470.207999999995</v>
      </c>
      <c r="AJ22" s="2">
        <f t="shared" si="35"/>
        <v>30587.759999999995</v>
      </c>
      <c r="AK22" s="2">
        <f t="shared" si="35"/>
        <v>36705.311999999998</v>
      </c>
      <c r="AL22" s="2">
        <f t="shared" si="35"/>
        <v>26509.391999999996</v>
      </c>
      <c r="AM22" s="2">
        <f t="shared" si="35"/>
        <v>12235.103999999998</v>
      </c>
      <c r="AN22" s="2">
        <v>7000</v>
      </c>
      <c r="AO22" s="2">
        <f>AO11*$B22</f>
        <v>10195.919999999998</v>
      </c>
      <c r="AP22" s="71">
        <f t="shared" ref="AP22:AP37" si="36">SUM(AG22:AO22)</f>
        <v>184409.00799999997</v>
      </c>
    </row>
    <row r="23" spans="1:42" x14ac:dyDescent="0.2">
      <c r="A23" t="s">
        <v>184</v>
      </c>
      <c r="B23" s="1">
        <v>0.3</v>
      </c>
      <c r="C23" t="s">
        <v>224</v>
      </c>
      <c r="F23" s="2"/>
      <c r="G23" s="2">
        <f t="shared" ref="G23:O23" si="37">G11*30%</f>
        <v>25200</v>
      </c>
      <c r="H23" s="2">
        <f t="shared" si="37"/>
        <v>30240</v>
      </c>
      <c r="I23" s="2">
        <f t="shared" si="37"/>
        <v>21840</v>
      </c>
      <c r="J23" s="2">
        <f t="shared" si="37"/>
        <v>10080</v>
      </c>
      <c r="K23" s="2">
        <f t="shared" si="37"/>
        <v>5040</v>
      </c>
      <c r="L23" s="2">
        <f t="shared" si="37"/>
        <v>8400</v>
      </c>
      <c r="M23" s="2">
        <f t="shared" si="37"/>
        <v>3360</v>
      </c>
      <c r="N23" s="2">
        <f t="shared" si="37"/>
        <v>5040</v>
      </c>
      <c r="O23" s="2">
        <f t="shared" si="37"/>
        <v>8400</v>
      </c>
      <c r="Q23" s="9">
        <f t="shared" si="32"/>
        <v>117600</v>
      </c>
      <c r="R23" s="26" t="s">
        <v>283</v>
      </c>
      <c r="S23" s="2">
        <f t="shared" ref="S23:AD23" si="38">S11*30%</f>
        <v>10281.6</v>
      </c>
      <c r="T23" s="2">
        <f t="shared" si="38"/>
        <v>20563.2</v>
      </c>
      <c r="U23" s="2">
        <f t="shared" si="38"/>
        <v>20563.2</v>
      </c>
      <c r="V23" s="2">
        <f t="shared" si="38"/>
        <v>25704</v>
      </c>
      <c r="W23" s="2">
        <f t="shared" si="38"/>
        <v>30844.799999999999</v>
      </c>
      <c r="X23" s="2">
        <f t="shared" si="38"/>
        <v>22276.799999999999</v>
      </c>
      <c r="Y23" s="2">
        <f t="shared" si="38"/>
        <v>10281.6</v>
      </c>
      <c r="Z23" s="2">
        <f t="shared" si="38"/>
        <v>5140.8</v>
      </c>
      <c r="AA23" s="2">
        <f t="shared" si="38"/>
        <v>8568</v>
      </c>
      <c r="AB23" s="2">
        <f t="shared" si="38"/>
        <v>3427.2</v>
      </c>
      <c r="AC23" s="2">
        <f t="shared" si="38"/>
        <v>5140.8</v>
      </c>
      <c r="AD23" s="2">
        <f t="shared" si="38"/>
        <v>8568</v>
      </c>
      <c r="AE23" s="9">
        <f t="shared" si="34"/>
        <v>171360</v>
      </c>
      <c r="AF23" s="26" t="s">
        <v>283</v>
      </c>
      <c r="AG23" s="2">
        <f t="shared" ref="AG23:AO23" si="39">AG11*30%</f>
        <v>10487.231999999998</v>
      </c>
      <c r="AH23" s="2">
        <f t="shared" si="39"/>
        <v>20974.463999999996</v>
      </c>
      <c r="AI23" s="2">
        <f t="shared" si="39"/>
        <v>20974.463999999996</v>
      </c>
      <c r="AJ23" s="2">
        <f t="shared" si="39"/>
        <v>26218.079999999998</v>
      </c>
      <c r="AK23" s="2">
        <f t="shared" si="39"/>
        <v>31461.695999999996</v>
      </c>
      <c r="AL23" s="2">
        <f t="shared" si="39"/>
        <v>22722.335999999999</v>
      </c>
      <c r="AM23" s="2">
        <f t="shared" si="39"/>
        <v>10487.231999999998</v>
      </c>
      <c r="AN23" s="2">
        <f t="shared" si="39"/>
        <v>5243.6159999999991</v>
      </c>
      <c r="AO23" s="2">
        <f t="shared" si="39"/>
        <v>8739.3599999999988</v>
      </c>
      <c r="AP23" s="71">
        <f t="shared" si="36"/>
        <v>157308.47999999998</v>
      </c>
    </row>
    <row r="24" spans="1:42" x14ac:dyDescent="0.2">
      <c r="A24" s="82" t="s">
        <v>415</v>
      </c>
      <c r="B24" s="2">
        <v>50000</v>
      </c>
      <c r="F24" s="2"/>
      <c r="G24" s="2">
        <f>B24</f>
        <v>50000</v>
      </c>
      <c r="H24" s="2"/>
      <c r="I24" s="2"/>
      <c r="J24" s="2"/>
      <c r="K24" s="2"/>
      <c r="L24" s="2"/>
      <c r="M24" s="2"/>
      <c r="N24" s="2"/>
      <c r="O24" s="2"/>
      <c r="Q24" s="9"/>
      <c r="R24" s="26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9"/>
      <c r="AF24" s="26"/>
      <c r="AG24" s="2"/>
      <c r="AH24" s="2"/>
      <c r="AI24" s="2"/>
      <c r="AJ24" s="2"/>
      <c r="AK24" s="2"/>
      <c r="AL24" s="2"/>
      <c r="AM24" s="2"/>
      <c r="AN24" s="2"/>
      <c r="AO24" s="2"/>
      <c r="AP24" s="71"/>
    </row>
    <row r="25" spans="1:42" x14ac:dyDescent="0.2">
      <c r="A25" s="82" t="s">
        <v>416</v>
      </c>
      <c r="B25" s="1">
        <v>0.25</v>
      </c>
      <c r="C25" t="s">
        <v>392</v>
      </c>
      <c r="F25" s="2"/>
      <c r="G25" s="2">
        <f t="shared" ref="G25:O25" si="40">G12*25%</f>
        <v>19125</v>
      </c>
      <c r="H25" s="2">
        <f t="shared" si="40"/>
        <v>22950</v>
      </c>
      <c r="I25" s="2">
        <f t="shared" si="40"/>
        <v>16575</v>
      </c>
      <c r="J25" s="2">
        <f t="shared" si="40"/>
        <v>7650</v>
      </c>
      <c r="K25" s="2">
        <f t="shared" si="40"/>
        <v>3825</v>
      </c>
      <c r="L25" s="2">
        <f t="shared" si="40"/>
        <v>6375</v>
      </c>
      <c r="M25" s="2">
        <f t="shared" si="40"/>
        <v>0</v>
      </c>
      <c r="N25" s="2">
        <f t="shared" si="40"/>
        <v>0</v>
      </c>
      <c r="O25" s="2">
        <f t="shared" si="40"/>
        <v>0</v>
      </c>
      <c r="Q25" s="9">
        <f t="shared" si="32"/>
        <v>76500</v>
      </c>
      <c r="R25" s="26"/>
      <c r="S25" s="2">
        <f t="shared" ref="S25:AD25" si="41">S12*25%</f>
        <v>7803</v>
      </c>
      <c r="T25" s="2">
        <f t="shared" si="41"/>
        <v>15606</v>
      </c>
      <c r="U25" s="2">
        <f t="shared" si="41"/>
        <v>15606</v>
      </c>
      <c r="V25" s="2">
        <f t="shared" si="41"/>
        <v>19507.5</v>
      </c>
      <c r="W25" s="2">
        <f t="shared" si="41"/>
        <v>23409</v>
      </c>
      <c r="X25" s="2">
        <f t="shared" si="41"/>
        <v>16906.5</v>
      </c>
      <c r="Y25" s="2">
        <f t="shared" si="41"/>
        <v>7803</v>
      </c>
      <c r="Z25" s="2">
        <f t="shared" si="41"/>
        <v>3901.5</v>
      </c>
      <c r="AA25" s="2">
        <f t="shared" si="41"/>
        <v>6502.5</v>
      </c>
      <c r="AB25" s="2">
        <f t="shared" si="41"/>
        <v>0</v>
      </c>
      <c r="AC25" s="2">
        <f t="shared" si="41"/>
        <v>0</v>
      </c>
      <c r="AD25" s="2">
        <f t="shared" si="41"/>
        <v>0</v>
      </c>
      <c r="AE25" s="9">
        <f t="shared" si="34"/>
        <v>117045</v>
      </c>
      <c r="AF25" s="26"/>
      <c r="AG25" s="2">
        <f t="shared" ref="AG25:AO25" si="42">AG12*25%</f>
        <v>7959.06</v>
      </c>
      <c r="AH25" s="2">
        <f t="shared" si="42"/>
        <v>15918.12</v>
      </c>
      <c r="AI25" s="2">
        <f t="shared" si="42"/>
        <v>15918.12</v>
      </c>
      <c r="AJ25" s="2">
        <f t="shared" si="42"/>
        <v>19897.650000000001</v>
      </c>
      <c r="AK25" s="2">
        <f t="shared" si="42"/>
        <v>23877.180000000004</v>
      </c>
      <c r="AL25" s="2">
        <f t="shared" si="42"/>
        <v>17244.63</v>
      </c>
      <c r="AM25" s="2">
        <f t="shared" si="42"/>
        <v>7959.06</v>
      </c>
      <c r="AN25" s="2">
        <f t="shared" si="42"/>
        <v>3979.53</v>
      </c>
      <c r="AO25" s="2">
        <f t="shared" si="42"/>
        <v>6632.55</v>
      </c>
      <c r="AP25" s="71">
        <f t="shared" si="36"/>
        <v>119385.90000000001</v>
      </c>
    </row>
    <row r="26" spans="1:42" x14ac:dyDescent="0.2">
      <c r="A26" s="82" t="s">
        <v>417</v>
      </c>
      <c r="B26" s="1">
        <v>0.25</v>
      </c>
      <c r="C26" t="s">
        <v>392</v>
      </c>
      <c r="F26" s="2"/>
      <c r="G26" s="2">
        <f t="shared" ref="G26:O26" si="43">G12*25%</f>
        <v>19125</v>
      </c>
      <c r="H26" s="2">
        <f t="shared" si="43"/>
        <v>22950</v>
      </c>
      <c r="I26" s="2">
        <f t="shared" si="43"/>
        <v>16575</v>
      </c>
      <c r="J26" s="2">
        <f t="shared" si="43"/>
        <v>7650</v>
      </c>
      <c r="K26" s="2">
        <f t="shared" si="43"/>
        <v>3825</v>
      </c>
      <c r="L26" s="2">
        <f t="shared" si="43"/>
        <v>6375</v>
      </c>
      <c r="M26" s="2">
        <f t="shared" si="43"/>
        <v>0</v>
      </c>
      <c r="N26" s="2">
        <f t="shared" si="43"/>
        <v>0</v>
      </c>
      <c r="O26" s="2">
        <f t="shared" si="43"/>
        <v>0</v>
      </c>
      <c r="Q26" s="9">
        <f t="shared" si="32"/>
        <v>76500</v>
      </c>
      <c r="R26" s="26"/>
      <c r="S26" s="2">
        <f t="shared" ref="S26:AD26" si="44">S12*25%</f>
        <v>7803</v>
      </c>
      <c r="T26" s="2">
        <f t="shared" si="44"/>
        <v>15606</v>
      </c>
      <c r="U26" s="2">
        <f t="shared" si="44"/>
        <v>15606</v>
      </c>
      <c r="V26" s="2">
        <f t="shared" si="44"/>
        <v>19507.5</v>
      </c>
      <c r="W26" s="2">
        <f t="shared" si="44"/>
        <v>23409</v>
      </c>
      <c r="X26" s="2">
        <f t="shared" si="44"/>
        <v>16906.5</v>
      </c>
      <c r="Y26" s="2">
        <f t="shared" si="44"/>
        <v>7803</v>
      </c>
      <c r="Z26" s="2">
        <f t="shared" si="44"/>
        <v>3901.5</v>
      </c>
      <c r="AA26" s="2">
        <f t="shared" si="44"/>
        <v>6502.5</v>
      </c>
      <c r="AB26" s="2">
        <f t="shared" si="44"/>
        <v>0</v>
      </c>
      <c r="AC26" s="2">
        <f t="shared" si="44"/>
        <v>0</v>
      </c>
      <c r="AD26" s="2">
        <f t="shared" si="44"/>
        <v>0</v>
      </c>
      <c r="AE26" s="9">
        <f t="shared" si="34"/>
        <v>117045</v>
      </c>
      <c r="AF26" s="26"/>
      <c r="AG26" s="2">
        <f t="shared" ref="AG26:AO26" si="45">AG12*25%</f>
        <v>7959.06</v>
      </c>
      <c r="AH26" s="2">
        <f t="shared" si="45"/>
        <v>15918.12</v>
      </c>
      <c r="AI26" s="2">
        <f t="shared" si="45"/>
        <v>15918.12</v>
      </c>
      <c r="AJ26" s="2">
        <f t="shared" si="45"/>
        <v>19897.650000000001</v>
      </c>
      <c r="AK26" s="2">
        <f t="shared" si="45"/>
        <v>23877.180000000004</v>
      </c>
      <c r="AL26" s="2">
        <f t="shared" si="45"/>
        <v>17244.63</v>
      </c>
      <c r="AM26" s="2">
        <f t="shared" si="45"/>
        <v>7959.06</v>
      </c>
      <c r="AN26" s="2">
        <f t="shared" si="45"/>
        <v>3979.53</v>
      </c>
      <c r="AO26" s="2">
        <f t="shared" si="45"/>
        <v>6632.55</v>
      </c>
      <c r="AP26" s="71">
        <f t="shared" si="36"/>
        <v>119385.90000000001</v>
      </c>
    </row>
    <row r="27" spans="1:42" x14ac:dyDescent="0.2">
      <c r="A27" t="s">
        <v>246</v>
      </c>
      <c r="B27" s="1">
        <v>0.4</v>
      </c>
      <c r="C27" t="s">
        <v>247</v>
      </c>
      <c r="F27" s="2"/>
      <c r="G27" s="2">
        <f t="shared" ref="G27:O27" si="46">G13*$B27</f>
        <v>3600</v>
      </c>
      <c r="H27" s="2">
        <f t="shared" si="46"/>
        <v>4320</v>
      </c>
      <c r="I27" s="2">
        <f t="shared" si="46"/>
        <v>3120</v>
      </c>
      <c r="J27" s="2">
        <f t="shared" si="46"/>
        <v>1440</v>
      </c>
      <c r="K27" s="2">
        <f t="shared" si="46"/>
        <v>720</v>
      </c>
      <c r="L27" s="2">
        <f t="shared" si="46"/>
        <v>1200</v>
      </c>
      <c r="M27" s="2">
        <f t="shared" si="46"/>
        <v>480</v>
      </c>
      <c r="N27" s="2">
        <f t="shared" si="46"/>
        <v>720</v>
      </c>
      <c r="O27" s="2">
        <f t="shared" si="46"/>
        <v>1200</v>
      </c>
      <c r="Q27" s="9">
        <f t="shared" si="32"/>
        <v>16800</v>
      </c>
      <c r="R27" s="26" t="s">
        <v>283</v>
      </c>
      <c r="S27" s="2">
        <f t="shared" ref="S27:AD27" si="47">S13*$B27</f>
        <v>1468.8000000000002</v>
      </c>
      <c r="T27" s="2">
        <f t="shared" si="47"/>
        <v>2937.6000000000004</v>
      </c>
      <c r="U27" s="2">
        <f t="shared" si="47"/>
        <v>2937.6000000000004</v>
      </c>
      <c r="V27" s="2">
        <f t="shared" si="47"/>
        <v>3672</v>
      </c>
      <c r="W27" s="2">
        <f t="shared" si="47"/>
        <v>4406.4000000000005</v>
      </c>
      <c r="X27" s="2">
        <f t="shared" si="47"/>
        <v>3182.4</v>
      </c>
      <c r="Y27" s="2">
        <f t="shared" si="47"/>
        <v>1468.8000000000002</v>
      </c>
      <c r="Z27" s="2">
        <f t="shared" si="47"/>
        <v>734.40000000000009</v>
      </c>
      <c r="AA27" s="2">
        <f t="shared" si="47"/>
        <v>1224</v>
      </c>
      <c r="AB27" s="2">
        <f t="shared" si="47"/>
        <v>489.6</v>
      </c>
      <c r="AC27" s="2">
        <f t="shared" si="47"/>
        <v>734.40000000000009</v>
      </c>
      <c r="AD27" s="2">
        <f t="shared" si="47"/>
        <v>1224</v>
      </c>
      <c r="AE27" s="9">
        <f t="shared" si="34"/>
        <v>24480.000000000004</v>
      </c>
      <c r="AF27" s="26" t="s">
        <v>283</v>
      </c>
      <c r="AG27" s="2">
        <f t="shared" ref="AG27:AO27" si="48">AG13*$B27</f>
        <v>1498.1760000000002</v>
      </c>
      <c r="AH27" s="2">
        <f t="shared" si="48"/>
        <v>2996.3520000000003</v>
      </c>
      <c r="AI27" s="2">
        <f t="shared" si="48"/>
        <v>2996.3520000000003</v>
      </c>
      <c r="AJ27" s="2">
        <f t="shared" si="48"/>
        <v>3745.4400000000005</v>
      </c>
      <c r="AK27" s="2">
        <f t="shared" si="48"/>
        <v>4494.5280000000002</v>
      </c>
      <c r="AL27" s="2">
        <f t="shared" si="48"/>
        <v>3246.0480000000002</v>
      </c>
      <c r="AM27" s="2">
        <f t="shared" si="48"/>
        <v>1498.1760000000002</v>
      </c>
      <c r="AN27" s="2">
        <f t="shared" si="48"/>
        <v>749.08800000000008</v>
      </c>
      <c r="AO27" s="2">
        <f t="shared" si="48"/>
        <v>1248.4800000000002</v>
      </c>
      <c r="AP27" s="71">
        <f t="shared" si="36"/>
        <v>22472.639999999999</v>
      </c>
    </row>
    <row r="28" spans="1:42" x14ac:dyDescent="0.2">
      <c r="A28" s="18" t="s">
        <v>418</v>
      </c>
      <c r="B28" s="1"/>
      <c r="C28" s="18" t="s">
        <v>419</v>
      </c>
      <c r="F28" s="2"/>
      <c r="G28" s="2"/>
      <c r="H28" s="2"/>
      <c r="I28" s="2"/>
      <c r="J28" s="2"/>
      <c r="K28" s="2"/>
      <c r="L28" s="2"/>
      <c r="M28" s="2"/>
      <c r="N28" s="2"/>
      <c r="O28" s="2"/>
      <c r="Q28" s="9"/>
      <c r="R28" s="26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9"/>
      <c r="AF28" s="26"/>
      <c r="AG28" s="2"/>
      <c r="AH28" s="2"/>
      <c r="AI28" s="2"/>
      <c r="AJ28" s="2"/>
      <c r="AK28" s="2"/>
      <c r="AL28" s="2"/>
      <c r="AM28" s="2"/>
      <c r="AN28" s="2"/>
      <c r="AO28" s="2"/>
      <c r="AP28" s="71"/>
    </row>
    <row r="29" spans="1:42" s="78" customFormat="1" x14ac:dyDescent="0.2">
      <c r="A29" t="s">
        <v>189</v>
      </c>
      <c r="B29" s="2">
        <f>'Transition min '!C4</f>
        <v>63000</v>
      </c>
      <c r="C29" s="79"/>
      <c r="F29" s="79"/>
      <c r="G29" s="2">
        <f t="shared" ref="G29:O29" si="49">$B29/12</f>
        <v>5250</v>
      </c>
      <c r="H29" s="2">
        <f t="shared" si="49"/>
        <v>5250</v>
      </c>
      <c r="I29" s="2">
        <f t="shared" si="49"/>
        <v>5250</v>
      </c>
      <c r="J29" s="2">
        <f t="shared" si="49"/>
        <v>5250</v>
      </c>
      <c r="K29" s="2">
        <f t="shared" si="49"/>
        <v>5250</v>
      </c>
      <c r="L29" s="2">
        <f t="shared" si="49"/>
        <v>5250</v>
      </c>
      <c r="M29" s="2">
        <f t="shared" si="49"/>
        <v>5250</v>
      </c>
      <c r="N29" s="2">
        <f t="shared" si="49"/>
        <v>5250</v>
      </c>
      <c r="O29" s="2">
        <f t="shared" si="49"/>
        <v>5250</v>
      </c>
      <c r="Q29" s="9">
        <f>SUM(D29:O29)</f>
        <v>47250</v>
      </c>
      <c r="S29" s="119">
        <f>O29*102%</f>
        <v>5355</v>
      </c>
      <c r="T29" s="119">
        <f t="shared" ref="T29:AD29" si="50">S29</f>
        <v>5355</v>
      </c>
      <c r="U29" s="119">
        <f t="shared" si="50"/>
        <v>5355</v>
      </c>
      <c r="V29" s="119">
        <f t="shared" si="50"/>
        <v>5355</v>
      </c>
      <c r="W29" s="119">
        <f t="shared" si="50"/>
        <v>5355</v>
      </c>
      <c r="X29" s="119">
        <f t="shared" si="50"/>
        <v>5355</v>
      </c>
      <c r="Y29" s="119">
        <f t="shared" si="50"/>
        <v>5355</v>
      </c>
      <c r="Z29" s="119">
        <f t="shared" si="50"/>
        <v>5355</v>
      </c>
      <c r="AA29" s="119">
        <f t="shared" si="50"/>
        <v>5355</v>
      </c>
      <c r="AB29" s="119">
        <f t="shared" si="50"/>
        <v>5355</v>
      </c>
      <c r="AC29" s="119">
        <f t="shared" si="50"/>
        <v>5355</v>
      </c>
      <c r="AD29" s="119">
        <f t="shared" si="50"/>
        <v>5355</v>
      </c>
      <c r="AE29" s="120">
        <f>SUM(S29:AD29)</f>
        <v>64260</v>
      </c>
      <c r="AG29" s="119">
        <f>AC29*102%</f>
        <v>5462.1</v>
      </c>
      <c r="AH29" s="119">
        <f t="shared" ref="AH29:AO30" si="51">AG29</f>
        <v>5462.1</v>
      </c>
      <c r="AI29" s="119">
        <f t="shared" si="51"/>
        <v>5462.1</v>
      </c>
      <c r="AJ29" s="119">
        <f t="shared" si="51"/>
        <v>5462.1</v>
      </c>
      <c r="AK29" s="119">
        <f t="shared" si="51"/>
        <v>5462.1</v>
      </c>
      <c r="AL29" s="119">
        <f t="shared" si="51"/>
        <v>5462.1</v>
      </c>
      <c r="AM29" s="119">
        <f t="shared" si="51"/>
        <v>5462.1</v>
      </c>
      <c r="AN29" s="119">
        <f t="shared" si="51"/>
        <v>5462.1</v>
      </c>
      <c r="AO29" s="119">
        <f t="shared" si="51"/>
        <v>5462.1</v>
      </c>
      <c r="AP29" s="121">
        <f>SUM(AG29:AO29)</f>
        <v>49158.899999999994</v>
      </c>
    </row>
    <row r="30" spans="1:42" s="78" customFormat="1" x14ac:dyDescent="0.2">
      <c r="A30" t="s">
        <v>125</v>
      </c>
      <c r="B30" s="2">
        <v>30000</v>
      </c>
      <c r="C30" s="79"/>
      <c r="F30" s="79"/>
      <c r="G30" s="2">
        <f>30000/12</f>
        <v>2500</v>
      </c>
      <c r="H30" s="2">
        <f t="shared" ref="H30:O30" si="52">$B30/12</f>
        <v>2500</v>
      </c>
      <c r="I30" s="2">
        <f t="shared" si="52"/>
        <v>2500</v>
      </c>
      <c r="J30" s="2">
        <f t="shared" si="52"/>
        <v>2500</v>
      </c>
      <c r="K30" s="2">
        <f t="shared" si="52"/>
        <v>2500</v>
      </c>
      <c r="L30" s="2">
        <f t="shared" si="52"/>
        <v>2500</v>
      </c>
      <c r="M30" s="2">
        <f t="shared" si="52"/>
        <v>2500</v>
      </c>
      <c r="N30" s="2">
        <f t="shared" si="52"/>
        <v>2500</v>
      </c>
      <c r="O30" s="2">
        <f t="shared" si="52"/>
        <v>2500</v>
      </c>
      <c r="Q30" s="9">
        <f>SUM(D30:O30)</f>
        <v>22500</v>
      </c>
      <c r="S30" s="119">
        <f>O30*102%</f>
        <v>2550</v>
      </c>
      <c r="T30" s="119">
        <f t="shared" ref="T30:AD30" si="53">S30</f>
        <v>2550</v>
      </c>
      <c r="U30" s="119">
        <f t="shared" si="53"/>
        <v>2550</v>
      </c>
      <c r="V30" s="119">
        <f t="shared" si="53"/>
        <v>2550</v>
      </c>
      <c r="W30" s="119">
        <f t="shared" si="53"/>
        <v>2550</v>
      </c>
      <c r="X30" s="119">
        <f t="shared" si="53"/>
        <v>2550</v>
      </c>
      <c r="Y30" s="119">
        <f t="shared" si="53"/>
        <v>2550</v>
      </c>
      <c r="Z30" s="119">
        <f t="shared" si="53"/>
        <v>2550</v>
      </c>
      <c r="AA30" s="119">
        <f t="shared" si="53"/>
        <v>2550</v>
      </c>
      <c r="AB30" s="119">
        <f t="shared" si="53"/>
        <v>2550</v>
      </c>
      <c r="AC30" s="119">
        <f t="shared" si="53"/>
        <v>2550</v>
      </c>
      <c r="AD30" s="119">
        <f t="shared" si="53"/>
        <v>2550</v>
      </c>
      <c r="AE30" s="120">
        <f>SUM(S30:AD30)</f>
        <v>30600</v>
      </c>
      <c r="AG30" s="119">
        <f>AC30*102%</f>
        <v>2601</v>
      </c>
      <c r="AH30" s="119">
        <f t="shared" si="51"/>
        <v>2601</v>
      </c>
      <c r="AI30" s="119">
        <f t="shared" si="51"/>
        <v>2601</v>
      </c>
      <c r="AJ30" s="119">
        <f t="shared" si="51"/>
        <v>2601</v>
      </c>
      <c r="AK30" s="119">
        <f t="shared" si="51"/>
        <v>2601</v>
      </c>
      <c r="AL30" s="119">
        <f t="shared" si="51"/>
        <v>2601</v>
      </c>
      <c r="AM30" s="119">
        <f t="shared" si="51"/>
        <v>2601</v>
      </c>
      <c r="AN30" s="119">
        <f t="shared" si="51"/>
        <v>2601</v>
      </c>
      <c r="AO30" s="119">
        <f t="shared" si="51"/>
        <v>2601</v>
      </c>
      <c r="AP30" s="121">
        <f>SUM(AG30:AO30)</f>
        <v>23409</v>
      </c>
    </row>
    <row r="31" spans="1:42" x14ac:dyDescent="0.2">
      <c r="A31" t="s">
        <v>250</v>
      </c>
      <c r="B31" s="1"/>
      <c r="F31" s="2"/>
      <c r="G31" s="2">
        <f>Notes!G6</f>
        <v>3920</v>
      </c>
      <c r="H31" s="2">
        <f>Notes!G6+Notes!G8</f>
        <v>10346</v>
      </c>
      <c r="I31" s="2"/>
      <c r="J31" s="2">
        <f>Notes!G7</f>
        <v>3332</v>
      </c>
      <c r="K31" s="2">
        <f>Notes!G7</f>
        <v>3332</v>
      </c>
      <c r="L31" s="2"/>
      <c r="M31" s="2"/>
      <c r="N31" s="2"/>
      <c r="O31" s="2"/>
      <c r="Q31" s="9">
        <f t="shared" si="32"/>
        <v>20930</v>
      </c>
      <c r="R31" s="1">
        <v>1.02</v>
      </c>
      <c r="S31" s="2"/>
      <c r="T31" s="2"/>
      <c r="U31" s="2"/>
      <c r="V31" s="2">
        <f>G31*$R31</f>
        <v>3998.4</v>
      </c>
      <c r="W31" s="2">
        <f>H31*$R31</f>
        <v>10552.92</v>
      </c>
      <c r="X31" s="2"/>
      <c r="Y31" s="2">
        <f>J31*$R31</f>
        <v>3398.64</v>
      </c>
      <c r="Z31" s="2">
        <f>K31*$R31</f>
        <v>3398.64</v>
      </c>
      <c r="AA31" s="2"/>
      <c r="AB31" s="2"/>
      <c r="AC31" s="2"/>
      <c r="AD31" s="2"/>
      <c r="AE31" s="9">
        <f t="shared" si="34"/>
        <v>21348.6</v>
      </c>
      <c r="AF31" s="1">
        <v>1.02</v>
      </c>
      <c r="AG31" s="2"/>
      <c r="AH31" s="2"/>
      <c r="AI31" s="2"/>
      <c r="AJ31" s="2">
        <f>V31*$AF31</f>
        <v>4078.3679999999999</v>
      </c>
      <c r="AK31" s="2">
        <f>W31*$AF31</f>
        <v>10763.9784</v>
      </c>
      <c r="AL31" s="2"/>
      <c r="AM31" s="2">
        <f>Y31*$AF31</f>
        <v>3466.6127999999999</v>
      </c>
      <c r="AN31" s="2">
        <f>Z31*$AF31</f>
        <v>3466.6127999999999</v>
      </c>
      <c r="AO31" s="2"/>
      <c r="AP31" s="71">
        <f t="shared" si="36"/>
        <v>21775.572</v>
      </c>
    </row>
    <row r="32" spans="1:42" x14ac:dyDescent="0.2">
      <c r="A32" t="s">
        <v>259</v>
      </c>
      <c r="B32" s="1"/>
      <c r="F32" s="2"/>
      <c r="G32" s="2">
        <v>15680</v>
      </c>
      <c r="H32" s="2"/>
      <c r="I32" s="2"/>
      <c r="J32" s="2">
        <v>11200</v>
      </c>
      <c r="K32" s="2"/>
      <c r="L32" s="2"/>
      <c r="M32" s="2"/>
      <c r="N32" s="2"/>
      <c r="O32" s="2"/>
      <c r="Q32" s="9">
        <f t="shared" si="32"/>
        <v>26880</v>
      </c>
      <c r="R32" s="1">
        <v>1.02</v>
      </c>
      <c r="S32" s="2"/>
      <c r="T32" s="2"/>
      <c r="U32" s="2"/>
      <c r="V32" s="2">
        <f>G32*$R32</f>
        <v>15993.6</v>
      </c>
      <c r="W32" s="2"/>
      <c r="Y32" s="2">
        <f>J32*$R32</f>
        <v>11424</v>
      </c>
      <c r="Z32" s="2"/>
      <c r="AA32" s="2"/>
      <c r="AB32" s="2"/>
      <c r="AC32" s="2"/>
      <c r="AD32" s="2"/>
      <c r="AE32" s="9">
        <f t="shared" si="34"/>
        <v>27417.599999999999</v>
      </c>
      <c r="AF32" s="1">
        <v>1.02</v>
      </c>
      <c r="AG32" s="2"/>
      <c r="AH32" s="2"/>
      <c r="AI32" s="2"/>
      <c r="AJ32" s="2">
        <f>V32*$R32</f>
        <v>16313.472</v>
      </c>
      <c r="AK32" s="2"/>
      <c r="AM32" s="2">
        <f>Y32*$R32</f>
        <v>11652.48</v>
      </c>
      <c r="AN32" s="2"/>
      <c r="AO32" s="2"/>
      <c r="AP32" s="71">
        <f t="shared" si="36"/>
        <v>27965.951999999997</v>
      </c>
    </row>
    <row r="33" spans="1:42" x14ac:dyDescent="0.2">
      <c r="A33" t="s">
        <v>185</v>
      </c>
      <c r="B33" s="1">
        <v>0.35</v>
      </c>
      <c r="C33" t="s">
        <v>225</v>
      </c>
      <c r="G33" s="2">
        <f t="shared" ref="G33:L33" si="54">G16*$B33</f>
        <v>5250</v>
      </c>
      <c r="H33" s="2">
        <f t="shared" si="54"/>
        <v>14000</v>
      </c>
      <c r="I33" s="2">
        <f t="shared" si="54"/>
        <v>1750</v>
      </c>
      <c r="J33" s="2">
        <f t="shared" si="54"/>
        <v>1750</v>
      </c>
      <c r="K33" s="2">
        <f t="shared" si="54"/>
        <v>1050</v>
      </c>
      <c r="L33" s="2">
        <f t="shared" si="54"/>
        <v>4200</v>
      </c>
      <c r="Q33" s="9">
        <f t="shared" si="32"/>
        <v>28000</v>
      </c>
      <c r="R33" s="1">
        <v>1.02</v>
      </c>
      <c r="V33" s="2">
        <f t="shared" ref="V33:AA33" si="55">V16*$B33*$R33</f>
        <v>5355</v>
      </c>
      <c r="W33" s="2">
        <f t="shared" si="55"/>
        <v>17850</v>
      </c>
      <c r="X33" s="2">
        <f t="shared" si="55"/>
        <v>1785</v>
      </c>
      <c r="Y33" s="2">
        <f t="shared" si="55"/>
        <v>1785</v>
      </c>
      <c r="Z33" s="2">
        <f t="shared" si="55"/>
        <v>1071</v>
      </c>
      <c r="AA33" s="2">
        <f t="shared" si="55"/>
        <v>4284</v>
      </c>
      <c r="AE33" s="9">
        <f t="shared" si="34"/>
        <v>32130</v>
      </c>
      <c r="AF33" s="1">
        <v>1.02</v>
      </c>
      <c r="AJ33" s="2">
        <f t="shared" ref="AJ33:AO33" si="56">AJ16*$B33*$R33*$AF33</f>
        <v>5462.1</v>
      </c>
      <c r="AK33" s="2">
        <f t="shared" si="56"/>
        <v>21848.400000000001</v>
      </c>
      <c r="AL33" s="2">
        <f t="shared" si="56"/>
        <v>1820.7</v>
      </c>
      <c r="AM33" s="2">
        <f t="shared" si="56"/>
        <v>1820.7</v>
      </c>
      <c r="AN33" s="2">
        <f t="shared" si="56"/>
        <v>1092.42</v>
      </c>
      <c r="AO33" s="2">
        <f t="shared" si="56"/>
        <v>4369.68</v>
      </c>
      <c r="AP33" s="71">
        <f t="shared" si="36"/>
        <v>36414</v>
      </c>
    </row>
    <row r="34" spans="1:42" x14ac:dyDescent="0.2">
      <c r="A34" s="39" t="s">
        <v>208</v>
      </c>
      <c r="B34" s="2"/>
      <c r="F34" s="2"/>
      <c r="G34" s="2">
        <f>Notes!$G52</f>
        <v>10572</v>
      </c>
      <c r="H34" s="2">
        <f>Notes!G52</f>
        <v>10572</v>
      </c>
      <c r="I34" s="2">
        <f>Notes!G48</f>
        <v>7176</v>
      </c>
      <c r="J34" s="2">
        <f>Notes!G44</f>
        <v>4092</v>
      </c>
      <c r="K34" s="2">
        <f>Notes!G44</f>
        <v>4092</v>
      </c>
      <c r="L34" s="2">
        <f>Notes!$G48</f>
        <v>7176</v>
      </c>
      <c r="M34" s="2">
        <f>Notes!G44/2</f>
        <v>2046</v>
      </c>
      <c r="N34" s="2">
        <f>Notes!G44/2</f>
        <v>2046</v>
      </c>
      <c r="O34" s="2">
        <f>Notes!G44/2</f>
        <v>2046</v>
      </c>
      <c r="Q34" s="9">
        <f>SUM(D34:O34)</f>
        <v>49818</v>
      </c>
      <c r="R34" s="1">
        <v>1.02</v>
      </c>
      <c r="S34" s="2">
        <f>Notes!G48*102%</f>
        <v>7319.52</v>
      </c>
      <c r="T34" s="2">
        <f>Notes!G48*102%</f>
        <v>7319.52</v>
      </c>
      <c r="U34" s="2">
        <f>Notes!$G52*102%</f>
        <v>10783.44</v>
      </c>
      <c r="V34" s="2">
        <f>Notes!$G52*102%</f>
        <v>10783.44</v>
      </c>
      <c r="W34" s="2">
        <f>Notes!$G52*102%</f>
        <v>10783.44</v>
      </c>
      <c r="X34" s="2">
        <f>Notes!G48*102%</f>
        <v>7319.52</v>
      </c>
      <c r="Y34" s="2">
        <f>Notes!$G44*102%</f>
        <v>4173.84</v>
      </c>
      <c r="Z34" s="2">
        <f>Notes!$G44*102%</f>
        <v>4173.84</v>
      </c>
      <c r="AA34" s="2">
        <f>Notes!G48*102%</f>
        <v>7319.52</v>
      </c>
      <c r="AB34" s="2">
        <f>Notes!$G44*102%</f>
        <v>4173.84</v>
      </c>
      <c r="AC34" s="2">
        <f>Notes!$G44*102%</f>
        <v>4173.84</v>
      </c>
      <c r="AD34" s="2">
        <f>Notes!$G44*102%</f>
        <v>4173.84</v>
      </c>
      <c r="AE34" s="9">
        <f>SUM(S34:AD34)</f>
        <v>82497.599999999991</v>
      </c>
      <c r="AG34" s="2">
        <f>S34*102%</f>
        <v>7465.9104000000007</v>
      </c>
      <c r="AH34" s="2">
        <f t="shared" ref="AH34:AO34" si="57">T34*102%</f>
        <v>7465.9104000000007</v>
      </c>
      <c r="AI34" s="2">
        <f t="shared" si="57"/>
        <v>10999.1088</v>
      </c>
      <c r="AJ34" s="2">
        <f t="shared" si="57"/>
        <v>10999.1088</v>
      </c>
      <c r="AK34" s="2">
        <f t="shared" si="57"/>
        <v>10999.1088</v>
      </c>
      <c r="AL34" s="2">
        <f t="shared" si="57"/>
        <v>7465.9104000000007</v>
      </c>
      <c r="AM34" s="2">
        <f t="shared" si="57"/>
        <v>4257.3168000000005</v>
      </c>
      <c r="AN34" s="2">
        <f t="shared" si="57"/>
        <v>4257.3168000000005</v>
      </c>
      <c r="AO34" s="2">
        <f t="shared" si="57"/>
        <v>7465.9104000000007</v>
      </c>
      <c r="AP34" s="71">
        <f>SUM(AG34:AO34)</f>
        <v>71375.601600000009</v>
      </c>
    </row>
    <row r="35" spans="1:42" x14ac:dyDescent="0.2">
      <c r="A35" s="39" t="s">
        <v>204</v>
      </c>
      <c r="B35" s="2">
        <v>24000</v>
      </c>
      <c r="C35" s="39"/>
      <c r="F35" s="2"/>
      <c r="G35" s="2">
        <f t="shared" ref="G35:O36" si="58">$B35/12</f>
        <v>2000</v>
      </c>
      <c r="H35" s="2">
        <f t="shared" si="58"/>
        <v>2000</v>
      </c>
      <c r="I35" s="2">
        <f t="shared" si="58"/>
        <v>2000</v>
      </c>
      <c r="J35" s="2">
        <f t="shared" si="58"/>
        <v>2000</v>
      </c>
      <c r="K35" s="2">
        <f t="shared" si="58"/>
        <v>2000</v>
      </c>
      <c r="L35" s="2">
        <f t="shared" si="58"/>
        <v>2000</v>
      </c>
      <c r="M35" s="2"/>
      <c r="N35" s="2"/>
      <c r="O35" s="2"/>
      <c r="Q35" s="9">
        <f>SUM(D35:O35)</f>
        <v>12000</v>
      </c>
      <c r="S35" s="2">
        <f>G35</f>
        <v>2000</v>
      </c>
      <c r="T35" s="2">
        <f t="shared" ref="T35:AA35" si="59">S35</f>
        <v>2000</v>
      </c>
      <c r="U35" s="2">
        <f t="shared" si="59"/>
        <v>2000</v>
      </c>
      <c r="V35" s="2">
        <f t="shared" si="59"/>
        <v>2000</v>
      </c>
      <c r="W35" s="2">
        <f t="shared" si="59"/>
        <v>2000</v>
      </c>
      <c r="X35" s="2">
        <f t="shared" si="59"/>
        <v>2000</v>
      </c>
      <c r="Y35" s="2">
        <f t="shared" si="59"/>
        <v>2000</v>
      </c>
      <c r="Z35" s="2">
        <f t="shared" si="59"/>
        <v>2000</v>
      </c>
      <c r="AA35" s="2">
        <f t="shared" si="59"/>
        <v>2000</v>
      </c>
      <c r="AB35" s="2"/>
      <c r="AC35" s="2"/>
      <c r="AD35" s="2"/>
      <c r="AE35" s="9">
        <f t="shared" si="34"/>
        <v>18000</v>
      </c>
      <c r="AG35" s="2">
        <f>AA35</f>
        <v>2000</v>
      </c>
      <c r="AH35" s="2">
        <f t="shared" ref="AH35:AO35" si="60">AG35</f>
        <v>2000</v>
      </c>
      <c r="AI35" s="2">
        <f t="shared" si="60"/>
        <v>2000</v>
      </c>
      <c r="AJ35" s="2">
        <f t="shared" si="60"/>
        <v>2000</v>
      </c>
      <c r="AK35" s="2">
        <f t="shared" si="60"/>
        <v>2000</v>
      </c>
      <c r="AL35" s="2">
        <f t="shared" si="60"/>
        <v>2000</v>
      </c>
      <c r="AM35" s="2">
        <f t="shared" si="60"/>
        <v>2000</v>
      </c>
      <c r="AN35" s="2">
        <f t="shared" si="60"/>
        <v>2000</v>
      </c>
      <c r="AO35" s="2">
        <f t="shared" si="60"/>
        <v>2000</v>
      </c>
      <c r="AP35" s="71">
        <f t="shared" si="36"/>
        <v>18000</v>
      </c>
    </row>
    <row r="36" spans="1:42" x14ac:dyDescent="0.2">
      <c r="A36" t="s">
        <v>470</v>
      </c>
      <c r="B36" s="2">
        <v>18000</v>
      </c>
      <c r="F36" s="2"/>
      <c r="G36" s="2">
        <f t="shared" si="58"/>
        <v>1500</v>
      </c>
      <c r="H36" s="2">
        <f t="shared" si="58"/>
        <v>1500</v>
      </c>
      <c r="I36" s="2">
        <f t="shared" si="58"/>
        <v>1500</v>
      </c>
      <c r="J36" s="2">
        <f t="shared" si="58"/>
        <v>1500</v>
      </c>
      <c r="K36" s="2">
        <f t="shared" si="58"/>
        <v>1500</v>
      </c>
      <c r="L36" s="2">
        <f t="shared" si="58"/>
        <v>1500</v>
      </c>
      <c r="M36" s="2">
        <f t="shared" si="58"/>
        <v>1500</v>
      </c>
      <c r="N36" s="2">
        <f t="shared" si="58"/>
        <v>1500</v>
      </c>
      <c r="O36" s="2">
        <f t="shared" si="58"/>
        <v>1500</v>
      </c>
      <c r="Q36" s="9">
        <f>SUM(C36:O36)</f>
        <v>13500</v>
      </c>
      <c r="R36" s="1">
        <v>1.02</v>
      </c>
      <c r="S36" s="2">
        <f t="shared" ref="S36:AD36" si="61">$B36/12*$R36</f>
        <v>1530</v>
      </c>
      <c r="T36" s="2">
        <f t="shared" si="61"/>
        <v>1530</v>
      </c>
      <c r="U36" s="2">
        <f t="shared" si="61"/>
        <v>1530</v>
      </c>
      <c r="V36" s="2">
        <f t="shared" si="61"/>
        <v>1530</v>
      </c>
      <c r="W36" s="2">
        <f t="shared" si="61"/>
        <v>1530</v>
      </c>
      <c r="X36" s="2">
        <f t="shared" si="61"/>
        <v>1530</v>
      </c>
      <c r="Y36" s="2">
        <f t="shared" si="61"/>
        <v>1530</v>
      </c>
      <c r="Z36" s="2">
        <f t="shared" si="61"/>
        <v>1530</v>
      </c>
      <c r="AA36" s="2">
        <f t="shared" si="61"/>
        <v>1530</v>
      </c>
      <c r="AB36" s="2">
        <f t="shared" si="61"/>
        <v>1530</v>
      </c>
      <c r="AC36" s="2">
        <f t="shared" si="61"/>
        <v>1530</v>
      </c>
      <c r="AD36" s="2">
        <f t="shared" si="61"/>
        <v>1530</v>
      </c>
      <c r="AE36" s="9">
        <f t="shared" si="34"/>
        <v>18360</v>
      </c>
      <c r="AF36" s="1">
        <v>1.02</v>
      </c>
      <c r="AG36" s="2">
        <f t="shared" ref="AG36:AO36" si="62">$AE36/12*$AF36</f>
        <v>1560.6000000000001</v>
      </c>
      <c r="AH36" s="2">
        <f t="shared" si="62"/>
        <v>1560.6000000000001</v>
      </c>
      <c r="AI36" s="2">
        <f t="shared" si="62"/>
        <v>1560.6000000000001</v>
      </c>
      <c r="AJ36" s="2">
        <f t="shared" si="62"/>
        <v>1560.6000000000001</v>
      </c>
      <c r="AK36" s="2">
        <f t="shared" si="62"/>
        <v>1560.6000000000001</v>
      </c>
      <c r="AL36" s="2">
        <f t="shared" si="62"/>
        <v>1560.6000000000001</v>
      </c>
      <c r="AM36" s="2">
        <f t="shared" si="62"/>
        <v>1560.6000000000001</v>
      </c>
      <c r="AN36" s="2">
        <f t="shared" si="62"/>
        <v>1560.6000000000001</v>
      </c>
      <c r="AO36" s="2">
        <f t="shared" si="62"/>
        <v>1560.6000000000001</v>
      </c>
      <c r="AP36" s="71">
        <f t="shared" si="36"/>
        <v>14045.400000000001</v>
      </c>
    </row>
    <row r="37" spans="1:42" x14ac:dyDescent="0.2">
      <c r="A37" t="s">
        <v>420</v>
      </c>
      <c r="B37" s="80">
        <v>0.14000000000000001</v>
      </c>
      <c r="F37" s="2"/>
      <c r="G37" s="2">
        <f t="shared" ref="G37:O37" si="63">SUM(G29:G31)*$B37</f>
        <v>1633.8000000000002</v>
      </c>
      <c r="H37" s="2">
        <f t="shared" si="63"/>
        <v>2533.44</v>
      </c>
      <c r="I37" s="2">
        <f t="shared" si="63"/>
        <v>1085</v>
      </c>
      <c r="J37" s="2">
        <f t="shared" si="63"/>
        <v>1551.4800000000002</v>
      </c>
      <c r="K37" s="2">
        <f t="shared" si="63"/>
        <v>1551.4800000000002</v>
      </c>
      <c r="L37" s="2">
        <f t="shared" si="63"/>
        <v>1085</v>
      </c>
      <c r="M37" s="2">
        <f t="shared" si="63"/>
        <v>1085</v>
      </c>
      <c r="N37" s="2">
        <f t="shared" si="63"/>
        <v>1085</v>
      </c>
      <c r="O37" s="2">
        <f t="shared" si="63"/>
        <v>1085</v>
      </c>
      <c r="Q37" s="9">
        <f>SUM(C37:O37)</f>
        <v>12695.2</v>
      </c>
      <c r="R37" s="1"/>
      <c r="S37" s="2">
        <f t="shared" ref="S37:AD37" si="64">SUM(S29:S31)*$B37</f>
        <v>1106.7</v>
      </c>
      <c r="T37" s="2">
        <f t="shared" si="64"/>
        <v>1106.7</v>
      </c>
      <c r="U37" s="2">
        <f t="shared" si="64"/>
        <v>1106.7</v>
      </c>
      <c r="V37" s="2">
        <f t="shared" si="64"/>
        <v>1666.4760000000001</v>
      </c>
      <c r="W37" s="2">
        <f t="shared" si="64"/>
        <v>2584.1088</v>
      </c>
      <c r="X37" s="2">
        <f t="shared" si="64"/>
        <v>1106.7</v>
      </c>
      <c r="Y37" s="2">
        <f t="shared" si="64"/>
        <v>1582.5096000000001</v>
      </c>
      <c r="Z37" s="2">
        <f t="shared" si="64"/>
        <v>1582.5096000000001</v>
      </c>
      <c r="AA37" s="2">
        <f t="shared" si="64"/>
        <v>1106.7</v>
      </c>
      <c r="AB37" s="2">
        <f t="shared" si="64"/>
        <v>1106.7</v>
      </c>
      <c r="AC37" s="2">
        <f t="shared" si="64"/>
        <v>1106.7</v>
      </c>
      <c r="AD37" s="2">
        <f t="shared" si="64"/>
        <v>1106.7</v>
      </c>
      <c r="AE37" s="9">
        <f t="shared" si="34"/>
        <v>16269.204000000003</v>
      </c>
      <c r="AF37" s="1"/>
      <c r="AG37" s="2">
        <f t="shared" ref="AG37:AO37" si="65">SUM(AG29:AG31)*$B37</f>
        <v>1128.8340000000001</v>
      </c>
      <c r="AH37" s="2">
        <f t="shared" si="65"/>
        <v>1128.8340000000001</v>
      </c>
      <c r="AI37" s="2">
        <f t="shared" si="65"/>
        <v>1128.8340000000001</v>
      </c>
      <c r="AJ37" s="2">
        <f t="shared" si="65"/>
        <v>1699.8055200000003</v>
      </c>
      <c r="AK37" s="2">
        <f t="shared" si="65"/>
        <v>2635.7909760000002</v>
      </c>
      <c r="AL37" s="2">
        <f t="shared" si="65"/>
        <v>1128.8340000000001</v>
      </c>
      <c r="AM37" s="2">
        <f t="shared" si="65"/>
        <v>1614.1597920000004</v>
      </c>
      <c r="AN37" s="2">
        <f t="shared" si="65"/>
        <v>1614.1597920000004</v>
      </c>
      <c r="AO37" s="2">
        <f t="shared" si="65"/>
        <v>1128.8340000000001</v>
      </c>
      <c r="AP37" s="71">
        <f t="shared" si="36"/>
        <v>13208.086080000003</v>
      </c>
    </row>
    <row r="38" spans="1:42" ht="9" customHeight="1" x14ac:dyDescent="0.2">
      <c r="Q38" s="9"/>
      <c r="AP38" s="70"/>
    </row>
    <row r="39" spans="1:42" s="3" customFormat="1" x14ac:dyDescent="0.2">
      <c r="A39" s="101" t="s">
        <v>187</v>
      </c>
      <c r="B39" s="101"/>
      <c r="C39" s="101"/>
      <c r="D39" s="101"/>
      <c r="E39" s="101"/>
      <c r="F39" s="102"/>
      <c r="G39" s="102">
        <f t="shared" ref="G39:O39" si="66">SUM(G21:G38)</f>
        <v>194755.8</v>
      </c>
      <c r="H39" s="102">
        <f t="shared" si="66"/>
        <v>164441.44</v>
      </c>
      <c r="I39" s="102">
        <f t="shared" si="66"/>
        <v>104851</v>
      </c>
      <c r="J39" s="102">
        <f t="shared" si="66"/>
        <v>71755.48</v>
      </c>
      <c r="K39" s="102">
        <f t="shared" si="66"/>
        <v>41685.480000000003</v>
      </c>
      <c r="L39" s="102">
        <f t="shared" si="66"/>
        <v>55861</v>
      </c>
      <c r="M39" s="102">
        <f t="shared" si="66"/>
        <v>23221</v>
      </c>
      <c r="N39" s="102">
        <f t="shared" si="66"/>
        <v>25141</v>
      </c>
      <c r="O39" s="102">
        <f t="shared" si="66"/>
        <v>31781</v>
      </c>
      <c r="P39" s="101"/>
      <c r="Q39" s="102">
        <f>SUM(Q21:Q38)</f>
        <v>663493.19999999995</v>
      </c>
      <c r="R39" s="101"/>
      <c r="S39" s="102">
        <f t="shared" ref="S39:AE39" si="67">SUM(S21:S38)</f>
        <v>59212.820000000007</v>
      </c>
      <c r="T39" s="102">
        <f t="shared" si="67"/>
        <v>98564.420000000013</v>
      </c>
      <c r="U39" s="102">
        <f t="shared" si="67"/>
        <v>102028.34000000001</v>
      </c>
      <c r="V39" s="102">
        <f t="shared" si="67"/>
        <v>147610.916</v>
      </c>
      <c r="W39" s="102">
        <f t="shared" si="67"/>
        <v>171260.26879999999</v>
      </c>
      <c r="X39" s="102">
        <f t="shared" si="67"/>
        <v>106908.01999999999</v>
      </c>
      <c r="Y39" s="102">
        <f t="shared" si="67"/>
        <v>73150.589600000007</v>
      </c>
      <c r="Z39" s="102">
        <f t="shared" si="67"/>
        <v>42339.189599999991</v>
      </c>
      <c r="AA39" s="102">
        <f t="shared" si="67"/>
        <v>56938.22</v>
      </c>
      <c r="AB39" s="102">
        <f t="shared" si="67"/>
        <v>25632.340000000004</v>
      </c>
      <c r="AC39" s="102">
        <f t="shared" si="67"/>
        <v>27590.739999999998</v>
      </c>
      <c r="AD39" s="102">
        <f t="shared" si="67"/>
        <v>34503.539999999994</v>
      </c>
      <c r="AE39" s="102">
        <f t="shared" si="67"/>
        <v>945739.40399999998</v>
      </c>
      <c r="AF39" s="101"/>
      <c r="AG39" s="102">
        <f t="shared" ref="AG39:AP39" si="68">SUM(AG21:AG38)</f>
        <v>60357.076399999998</v>
      </c>
      <c r="AH39" s="102">
        <f t="shared" si="68"/>
        <v>100495.7084</v>
      </c>
      <c r="AI39" s="102">
        <f t="shared" si="68"/>
        <v>104028.90680000001</v>
      </c>
      <c r="AJ39" s="102">
        <f t="shared" si="68"/>
        <v>150523.13431999998</v>
      </c>
      <c r="AK39" s="102">
        <f t="shared" si="68"/>
        <v>178286.87417600001</v>
      </c>
      <c r="AL39" s="102">
        <f t="shared" si="68"/>
        <v>109006.18040000001</v>
      </c>
      <c r="AM39" s="102">
        <f t="shared" si="68"/>
        <v>74573.601392000011</v>
      </c>
      <c r="AN39" s="102">
        <f t="shared" si="68"/>
        <v>43005.973392</v>
      </c>
      <c r="AO39" s="102">
        <f t="shared" si="68"/>
        <v>58036.984400000001</v>
      </c>
      <c r="AP39" s="103">
        <f t="shared" si="68"/>
        <v>878314.43968000019</v>
      </c>
    </row>
    <row r="40" spans="1:42" s="3" customFormat="1" ht="5.25" customHeight="1" x14ac:dyDescent="0.2">
      <c r="F40" s="9"/>
      <c r="G40" s="9"/>
      <c r="H40" s="9"/>
      <c r="I40" s="9"/>
      <c r="J40" s="9"/>
      <c r="K40" s="9"/>
      <c r="L40" s="9"/>
      <c r="M40" s="9"/>
      <c r="N40" s="9"/>
      <c r="O40" s="9"/>
      <c r="Q40" s="77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G40" s="9"/>
      <c r="AH40" s="9"/>
      <c r="AI40" s="9"/>
      <c r="AJ40" s="9"/>
      <c r="AK40" s="9"/>
      <c r="AL40" s="9"/>
      <c r="AM40" s="9"/>
      <c r="AN40" s="9"/>
      <c r="AO40" s="9"/>
      <c r="AP40" s="71"/>
    </row>
    <row r="41" spans="1:42" s="44" customFormat="1" ht="17" thickBot="1" x14ac:dyDescent="0.25">
      <c r="A41" s="98" t="s">
        <v>433</v>
      </c>
      <c r="B41" s="98"/>
      <c r="C41" s="98"/>
      <c r="D41" s="98"/>
      <c r="E41" s="98"/>
      <c r="F41" s="98"/>
      <c r="G41" s="98">
        <f t="shared" ref="G41:O41" si="69">G19-G39</f>
        <v>23344.200000000012</v>
      </c>
      <c r="H41" s="98">
        <f t="shared" si="69"/>
        <v>147558.56</v>
      </c>
      <c r="I41" s="98">
        <f t="shared" si="69"/>
        <v>47049</v>
      </c>
      <c r="J41" s="98">
        <f t="shared" si="69"/>
        <v>22204.520000000004</v>
      </c>
      <c r="K41" s="98">
        <f t="shared" si="69"/>
        <v>16374.519999999997</v>
      </c>
      <c r="L41" s="98">
        <f t="shared" si="69"/>
        <v>13639</v>
      </c>
      <c r="M41" s="98">
        <f t="shared" si="69"/>
        <v>-9821</v>
      </c>
      <c r="N41" s="98">
        <f t="shared" si="69"/>
        <v>-5541</v>
      </c>
      <c r="O41" s="98">
        <f t="shared" si="69"/>
        <v>219</v>
      </c>
      <c r="P41" s="98"/>
      <c r="Q41" s="98">
        <f>SUM(C41:O41)</f>
        <v>255026.80000000005</v>
      </c>
      <c r="S41" s="98">
        <f>S19-S39</f>
        <v>10963.179999999993</v>
      </c>
      <c r="T41" s="98">
        <f t="shared" ref="T41:AP41" si="70">T19-T39</f>
        <v>40767.579999999987</v>
      </c>
      <c r="U41" s="98">
        <f t="shared" si="70"/>
        <v>37303.659999999989</v>
      </c>
      <c r="V41" s="98">
        <f t="shared" si="70"/>
        <v>74899.084000000003</v>
      </c>
      <c r="W41" s="98">
        <f t="shared" si="70"/>
        <v>155827.73120000001</v>
      </c>
      <c r="X41" s="98">
        <f t="shared" si="70"/>
        <v>48949.98000000001</v>
      </c>
      <c r="Y41" s="98">
        <f t="shared" si="70"/>
        <v>22185.410399999993</v>
      </c>
      <c r="Z41" s="98">
        <f t="shared" si="70"/>
        <v>16418.810400000009</v>
      </c>
      <c r="AA41" s="98">
        <f t="shared" si="70"/>
        <v>13711.779999999999</v>
      </c>
      <c r="AB41" s="98">
        <f t="shared" si="70"/>
        <v>-11964.340000000004</v>
      </c>
      <c r="AC41" s="98">
        <f t="shared" si="70"/>
        <v>-7598.739999999998</v>
      </c>
      <c r="AD41" s="98">
        <f t="shared" si="70"/>
        <v>-1863.5399999999936</v>
      </c>
      <c r="AE41" s="98">
        <f t="shared" si="70"/>
        <v>399600.59600000002</v>
      </c>
      <c r="AG41" s="98">
        <f t="shared" si="70"/>
        <v>11222.443599999991</v>
      </c>
      <c r="AH41" s="98">
        <f t="shared" si="70"/>
        <v>41622.931599999982</v>
      </c>
      <c r="AI41" s="98">
        <f t="shared" si="70"/>
        <v>38089.733199999973</v>
      </c>
      <c r="AJ41" s="98">
        <f t="shared" si="70"/>
        <v>75465.065680000029</v>
      </c>
      <c r="AK41" s="98">
        <f t="shared" si="70"/>
        <v>162970.885824</v>
      </c>
      <c r="AL41" s="98">
        <f t="shared" si="70"/>
        <v>49868.979599999991</v>
      </c>
      <c r="AM41" s="98">
        <f t="shared" si="70"/>
        <v>22165.918607999978</v>
      </c>
      <c r="AN41" s="98">
        <f t="shared" si="70"/>
        <v>16463.986607999999</v>
      </c>
      <c r="AO41" s="98">
        <f t="shared" si="70"/>
        <v>13786.015599999984</v>
      </c>
      <c r="AP41" s="104">
        <f t="shared" si="70"/>
        <v>431655.96031999972</v>
      </c>
    </row>
    <row r="42" spans="1:42" ht="17" thickTop="1" x14ac:dyDescent="0.2">
      <c r="G42" s="1">
        <f t="shared" ref="G42:O42" si="71">G41/G19</f>
        <v>0.10703438789546085</v>
      </c>
      <c r="H42" s="1">
        <f t="shared" si="71"/>
        <v>0.47294410256410258</v>
      </c>
      <c r="I42" s="1">
        <f t="shared" si="71"/>
        <v>0.3097366688610928</v>
      </c>
      <c r="J42" s="1">
        <f t="shared" si="71"/>
        <v>0.23631885908897407</v>
      </c>
      <c r="K42" s="1">
        <f t="shared" si="71"/>
        <v>0.28202755769893206</v>
      </c>
      <c r="L42" s="1">
        <f t="shared" si="71"/>
        <v>0.19624460431654675</v>
      </c>
      <c r="M42" s="1">
        <f t="shared" si="71"/>
        <v>-0.73291044776119407</v>
      </c>
      <c r="N42" s="1">
        <f t="shared" si="71"/>
        <v>-0.28270408163265304</v>
      </c>
      <c r="O42" s="1">
        <f t="shared" si="71"/>
        <v>6.84375E-3</v>
      </c>
      <c r="Q42" s="59">
        <f>Q41/Q19</f>
        <v>0.26331598727956063</v>
      </c>
      <c r="S42" s="1">
        <f t="shared" ref="S42:AE42" si="72">S41/S19</f>
        <v>0.15622406520747825</v>
      </c>
      <c r="T42" s="1">
        <f t="shared" si="72"/>
        <v>0.29259308701518666</v>
      </c>
      <c r="U42" s="1">
        <f t="shared" si="72"/>
        <v>0.26773217925530379</v>
      </c>
      <c r="V42" s="1">
        <f t="shared" si="72"/>
        <v>0.33660996809132177</v>
      </c>
      <c r="W42" s="1">
        <f t="shared" si="72"/>
        <v>0.47640919630191264</v>
      </c>
      <c r="X42" s="1">
        <f t="shared" si="72"/>
        <v>0.3140678053099617</v>
      </c>
      <c r="Y42" s="1">
        <f t="shared" si="72"/>
        <v>0.23270758580179568</v>
      </c>
      <c r="Z42" s="1">
        <f t="shared" si="72"/>
        <v>0.2794310630041868</v>
      </c>
      <c r="AA42" s="1">
        <f t="shared" si="72"/>
        <v>0.19408039631988674</v>
      </c>
      <c r="AB42" s="1">
        <f t="shared" si="72"/>
        <v>-0.8753541117939716</v>
      </c>
      <c r="AC42" s="1">
        <f t="shared" si="72"/>
        <v>-0.38008903561424562</v>
      </c>
      <c r="AD42" s="1">
        <f t="shared" si="72"/>
        <v>-5.7093749999999804E-2</v>
      </c>
      <c r="AE42" s="59">
        <f t="shared" si="72"/>
        <v>0.29702573029866058</v>
      </c>
      <c r="AG42" s="1">
        <f t="shared" ref="AG42:AP42" si="73">AG41/AG19</f>
        <v>0.15678288426633755</v>
      </c>
      <c r="AH42" s="1">
        <f t="shared" si="73"/>
        <v>0.29287454200237201</v>
      </c>
      <c r="AI42" s="1">
        <f t="shared" si="73"/>
        <v>0.26801363424248908</v>
      </c>
      <c r="AJ42" s="1">
        <f t="shared" si="73"/>
        <v>0.33393365529704661</v>
      </c>
      <c r="AK42" s="1">
        <f t="shared" si="73"/>
        <v>0.47755950172092787</v>
      </c>
      <c r="AL42" s="1">
        <f t="shared" si="73"/>
        <v>0.31388783243396884</v>
      </c>
      <c r="AM42" s="1">
        <f t="shared" si="73"/>
        <v>0.22912992133928287</v>
      </c>
      <c r="AN42" s="1">
        <f t="shared" si="73"/>
        <v>0.27684542932263617</v>
      </c>
      <c r="AO42" s="1">
        <f t="shared" si="73"/>
        <v>0.19194430196455156</v>
      </c>
      <c r="AP42" s="72">
        <f t="shared" si="73"/>
        <v>0.32951581220461146</v>
      </c>
    </row>
    <row r="43" spans="1:42" x14ac:dyDescent="0.2">
      <c r="A43" s="3" t="s">
        <v>264</v>
      </c>
      <c r="B43" s="2"/>
      <c r="AP43" s="70"/>
    </row>
    <row r="44" spans="1:42" x14ac:dyDescent="0.2">
      <c r="A44" s="4" t="s">
        <v>268</v>
      </c>
      <c r="B44" s="2">
        <v>1200</v>
      </c>
      <c r="F44" s="2">
        <f>B44</f>
        <v>1200</v>
      </c>
      <c r="Q44" s="9">
        <f>SUM(F44:O44)</f>
        <v>1200</v>
      </c>
      <c r="AP44" s="70"/>
    </row>
    <row r="45" spans="1:42" x14ac:dyDescent="0.2">
      <c r="A45" s="27" t="s">
        <v>340</v>
      </c>
      <c r="B45" s="2">
        <v>5000</v>
      </c>
      <c r="F45" s="2">
        <f>B45</f>
        <v>5000</v>
      </c>
      <c r="Q45" s="9">
        <f>SUM(F45:O45)</f>
        <v>5000</v>
      </c>
      <c r="AP45" s="70"/>
    </row>
    <row r="46" spans="1:42" x14ac:dyDescent="0.2">
      <c r="A46" s="27" t="s">
        <v>266</v>
      </c>
      <c r="B46" s="2">
        <v>3000</v>
      </c>
      <c r="F46" s="2">
        <f>B46</f>
        <v>3000</v>
      </c>
      <c r="Q46" s="9">
        <f>SUM(F46:O46)</f>
        <v>3000</v>
      </c>
      <c r="AP46" s="70"/>
    </row>
    <row r="47" spans="1:42" x14ac:dyDescent="0.2">
      <c r="A47" s="27" t="s">
        <v>267</v>
      </c>
      <c r="B47" s="2">
        <v>2400</v>
      </c>
      <c r="F47" s="2">
        <f>B47</f>
        <v>2400</v>
      </c>
      <c r="Q47" s="9">
        <f>SUM(F47:O47)</f>
        <v>2400</v>
      </c>
      <c r="AP47" s="70"/>
    </row>
    <row r="48" spans="1:42" x14ac:dyDescent="0.2">
      <c r="A48" s="27" t="s">
        <v>284</v>
      </c>
      <c r="B48" s="2">
        <v>3000</v>
      </c>
      <c r="F48" s="2">
        <f>B48</f>
        <v>3000</v>
      </c>
      <c r="Q48" s="9">
        <f>SUM(F48:O48)</f>
        <v>3000</v>
      </c>
      <c r="AP48" s="70"/>
    </row>
    <row r="49" spans="1:42" ht="9" customHeight="1" x14ac:dyDescent="0.2">
      <c r="Q49" s="9"/>
      <c r="AP49" s="70"/>
    </row>
    <row r="50" spans="1:42" x14ac:dyDescent="0.2">
      <c r="A50" s="56" t="s">
        <v>269</v>
      </c>
      <c r="F50" s="9">
        <f>SUM(F44:F49)</f>
        <v>14600</v>
      </c>
      <c r="Q50" s="9">
        <f>SUM(F50:O50)</f>
        <v>14600</v>
      </c>
      <c r="AP50" s="70"/>
    </row>
    <row r="51" spans="1:42" x14ac:dyDescent="0.2">
      <c r="AP51" s="70"/>
    </row>
    <row r="52" spans="1:42" x14ac:dyDescent="0.2">
      <c r="A52" s="3" t="s">
        <v>198</v>
      </c>
      <c r="AP52" s="70"/>
    </row>
    <row r="53" spans="1:42" x14ac:dyDescent="0.2">
      <c r="A53" s="27" t="s">
        <v>155</v>
      </c>
      <c r="B53" s="2">
        <f>'Transition min '!C5</f>
        <v>57500</v>
      </c>
      <c r="C53" t="s">
        <v>193</v>
      </c>
      <c r="F53" s="2"/>
      <c r="G53" s="2">
        <f t="shared" ref="G53:O53" si="74">$B53/12</f>
        <v>4791.666666666667</v>
      </c>
      <c r="H53" s="2">
        <f t="shared" si="74"/>
        <v>4791.666666666667</v>
      </c>
      <c r="I53" s="2">
        <f t="shared" si="74"/>
        <v>4791.666666666667</v>
      </c>
      <c r="J53" s="2">
        <f t="shared" si="74"/>
        <v>4791.666666666667</v>
      </c>
      <c r="K53" s="2">
        <f t="shared" si="74"/>
        <v>4791.666666666667</v>
      </c>
      <c r="L53" s="2">
        <f t="shared" si="74"/>
        <v>4791.666666666667</v>
      </c>
      <c r="M53" s="2">
        <f t="shared" si="74"/>
        <v>4791.666666666667</v>
      </c>
      <c r="N53" s="2">
        <f t="shared" si="74"/>
        <v>4791.666666666667</v>
      </c>
      <c r="O53" s="2">
        <f t="shared" si="74"/>
        <v>4791.666666666667</v>
      </c>
      <c r="Q53" s="9">
        <f t="shared" ref="Q53:Q54" si="75">SUM(D53:O53)</f>
        <v>43125</v>
      </c>
      <c r="S53" s="2">
        <f t="shared" ref="S53:S54" si="76">O53*102%</f>
        <v>4887.5</v>
      </c>
      <c r="T53" s="2">
        <f t="shared" ref="T53:AD53" si="77">S53</f>
        <v>4887.5</v>
      </c>
      <c r="U53" s="2">
        <f t="shared" si="77"/>
        <v>4887.5</v>
      </c>
      <c r="V53" s="2">
        <f t="shared" si="77"/>
        <v>4887.5</v>
      </c>
      <c r="W53" s="2">
        <f t="shared" si="77"/>
        <v>4887.5</v>
      </c>
      <c r="X53" s="2">
        <f t="shared" si="77"/>
        <v>4887.5</v>
      </c>
      <c r="Y53" s="2">
        <f t="shared" si="77"/>
        <v>4887.5</v>
      </c>
      <c r="Z53" s="2">
        <f t="shared" si="77"/>
        <v>4887.5</v>
      </c>
      <c r="AA53" s="2">
        <f t="shared" si="77"/>
        <v>4887.5</v>
      </c>
      <c r="AB53" s="2">
        <f t="shared" si="77"/>
        <v>4887.5</v>
      </c>
      <c r="AC53" s="2">
        <f t="shared" si="77"/>
        <v>4887.5</v>
      </c>
      <c r="AD53" s="2">
        <f t="shared" si="77"/>
        <v>4887.5</v>
      </c>
      <c r="AE53" s="9">
        <f t="shared" ref="AE53:AE54" si="78">SUM(S53:AD53)</f>
        <v>58650</v>
      </c>
      <c r="AG53" s="2">
        <f t="shared" ref="AG53:AG54" si="79">AC53*102%</f>
        <v>4985.25</v>
      </c>
      <c r="AH53" s="2">
        <f t="shared" ref="AH53:AO54" si="80">AG53</f>
        <v>4985.25</v>
      </c>
      <c r="AI53" s="2">
        <f t="shared" si="80"/>
        <v>4985.25</v>
      </c>
      <c r="AJ53" s="2">
        <f t="shared" si="80"/>
        <v>4985.25</v>
      </c>
      <c r="AK53" s="2">
        <f t="shared" si="80"/>
        <v>4985.25</v>
      </c>
      <c r="AL53" s="2">
        <f t="shared" si="80"/>
        <v>4985.25</v>
      </c>
      <c r="AM53" s="2">
        <f t="shared" si="80"/>
        <v>4985.25</v>
      </c>
      <c r="AN53" s="2">
        <f t="shared" si="80"/>
        <v>4985.25</v>
      </c>
      <c r="AO53" s="2">
        <f t="shared" si="80"/>
        <v>4985.25</v>
      </c>
      <c r="AP53" s="71">
        <f t="shared" ref="AP53:AP54" si="81">SUM(AG53:AO53)</f>
        <v>44867.25</v>
      </c>
    </row>
    <row r="54" spans="1:42" x14ac:dyDescent="0.2">
      <c r="A54" s="27" t="s">
        <v>310</v>
      </c>
      <c r="B54" s="2">
        <f>'Transition max'!C5</f>
        <v>19000</v>
      </c>
      <c r="C54" t="s">
        <v>196</v>
      </c>
      <c r="F54" s="2"/>
      <c r="G54" s="2"/>
      <c r="H54" s="2">
        <f t="shared" ref="H54:O54" si="82">$B54/12</f>
        <v>1583.3333333333333</v>
      </c>
      <c r="I54" s="2">
        <f t="shared" si="82"/>
        <v>1583.3333333333333</v>
      </c>
      <c r="J54" s="2">
        <f t="shared" si="82"/>
        <v>1583.3333333333333</v>
      </c>
      <c r="K54" s="2">
        <f t="shared" si="82"/>
        <v>1583.3333333333333</v>
      </c>
      <c r="L54" s="2">
        <f t="shared" si="82"/>
        <v>1583.3333333333333</v>
      </c>
      <c r="M54" s="2">
        <f t="shared" si="82"/>
        <v>1583.3333333333333</v>
      </c>
      <c r="N54" s="2">
        <f t="shared" si="82"/>
        <v>1583.3333333333333</v>
      </c>
      <c r="O54" s="2">
        <f t="shared" si="82"/>
        <v>1583.3333333333333</v>
      </c>
      <c r="Q54" s="9">
        <f t="shared" si="75"/>
        <v>12666.666666666668</v>
      </c>
      <c r="S54" s="2">
        <f t="shared" si="76"/>
        <v>1615</v>
      </c>
      <c r="T54" s="2">
        <f t="shared" ref="T54:AD54" si="83">S54</f>
        <v>1615</v>
      </c>
      <c r="U54" s="2">
        <f t="shared" si="83"/>
        <v>1615</v>
      </c>
      <c r="V54" s="2">
        <f t="shared" si="83"/>
        <v>1615</v>
      </c>
      <c r="W54" s="2">
        <f t="shared" si="83"/>
        <v>1615</v>
      </c>
      <c r="X54" s="2">
        <f t="shared" si="83"/>
        <v>1615</v>
      </c>
      <c r="Y54" s="2">
        <f t="shared" si="83"/>
        <v>1615</v>
      </c>
      <c r="Z54" s="2">
        <f t="shared" si="83"/>
        <v>1615</v>
      </c>
      <c r="AA54" s="2">
        <f t="shared" si="83"/>
        <v>1615</v>
      </c>
      <c r="AB54" s="2">
        <f t="shared" si="83"/>
        <v>1615</v>
      </c>
      <c r="AC54" s="2">
        <f t="shared" si="83"/>
        <v>1615</v>
      </c>
      <c r="AD54" s="2">
        <f t="shared" si="83"/>
        <v>1615</v>
      </c>
      <c r="AE54" s="9">
        <f t="shared" si="78"/>
        <v>19380</v>
      </c>
      <c r="AG54" s="2">
        <f t="shared" si="79"/>
        <v>1647.3</v>
      </c>
      <c r="AH54" s="2">
        <f t="shared" si="80"/>
        <v>1647.3</v>
      </c>
      <c r="AI54" s="2">
        <f t="shared" si="80"/>
        <v>1647.3</v>
      </c>
      <c r="AJ54" s="2">
        <f t="shared" si="80"/>
        <v>1647.3</v>
      </c>
      <c r="AK54" s="2">
        <f t="shared" si="80"/>
        <v>1647.3</v>
      </c>
      <c r="AL54" s="2">
        <f t="shared" si="80"/>
        <v>1647.3</v>
      </c>
      <c r="AM54" s="2">
        <f t="shared" si="80"/>
        <v>1647.3</v>
      </c>
      <c r="AN54" s="2">
        <f t="shared" si="80"/>
        <v>1647.3</v>
      </c>
      <c r="AO54" s="2">
        <f t="shared" si="80"/>
        <v>1647.3</v>
      </c>
      <c r="AP54" s="71">
        <f t="shared" si="81"/>
        <v>14825.699999999997</v>
      </c>
    </row>
    <row r="55" spans="1:42" x14ac:dyDescent="0.2">
      <c r="A55" t="s">
        <v>122</v>
      </c>
      <c r="B55" s="2">
        <f>'Transition min '!C7</f>
        <v>35000</v>
      </c>
      <c r="C55" t="s">
        <v>193</v>
      </c>
      <c r="F55" s="2"/>
      <c r="G55" s="2">
        <f t="shared" ref="G55:O56" si="84">$B55/12</f>
        <v>2916.6666666666665</v>
      </c>
      <c r="H55" s="2">
        <f t="shared" si="84"/>
        <v>2916.6666666666665</v>
      </c>
      <c r="I55" s="2">
        <f t="shared" si="84"/>
        <v>2916.6666666666665</v>
      </c>
      <c r="J55" s="2">
        <f t="shared" si="84"/>
        <v>2916.6666666666665</v>
      </c>
      <c r="K55" s="2">
        <f t="shared" si="84"/>
        <v>2916.6666666666665</v>
      </c>
      <c r="L55" s="2">
        <f t="shared" si="84"/>
        <v>2916.6666666666665</v>
      </c>
      <c r="M55" s="2">
        <f t="shared" si="84"/>
        <v>2916.6666666666665</v>
      </c>
      <c r="N55" s="2">
        <f t="shared" si="84"/>
        <v>2916.6666666666665</v>
      </c>
      <c r="O55" s="2">
        <f t="shared" si="84"/>
        <v>2916.6666666666665</v>
      </c>
      <c r="Q55" s="9">
        <f>SUM(D55:O55)</f>
        <v>26250.000000000004</v>
      </c>
      <c r="S55" s="2">
        <f>O55*102%</f>
        <v>2975</v>
      </c>
      <c r="T55" s="2">
        <f t="shared" ref="T55:AD55" si="85">S55</f>
        <v>2975</v>
      </c>
      <c r="U55" s="2">
        <f t="shared" si="85"/>
        <v>2975</v>
      </c>
      <c r="V55" s="2">
        <f t="shared" si="85"/>
        <v>2975</v>
      </c>
      <c r="W55" s="2">
        <f t="shared" si="85"/>
        <v>2975</v>
      </c>
      <c r="X55" s="2">
        <f t="shared" si="85"/>
        <v>2975</v>
      </c>
      <c r="Y55" s="2">
        <f t="shared" si="85"/>
        <v>2975</v>
      </c>
      <c r="Z55" s="2">
        <f t="shared" si="85"/>
        <v>2975</v>
      </c>
      <c r="AA55" s="2">
        <f t="shared" si="85"/>
        <v>2975</v>
      </c>
      <c r="AB55" s="2">
        <f t="shared" si="85"/>
        <v>2975</v>
      </c>
      <c r="AC55" s="2">
        <f t="shared" si="85"/>
        <v>2975</v>
      </c>
      <c r="AD55" s="2">
        <f t="shared" si="85"/>
        <v>2975</v>
      </c>
      <c r="AE55" s="9">
        <f>SUM(S55:AD55)</f>
        <v>35700</v>
      </c>
      <c r="AG55" s="2">
        <f>AC55*102%</f>
        <v>3034.5</v>
      </c>
      <c r="AH55" s="2">
        <f t="shared" ref="AH55:AO56" si="86">AG55</f>
        <v>3034.5</v>
      </c>
      <c r="AI55" s="2">
        <f t="shared" si="86"/>
        <v>3034.5</v>
      </c>
      <c r="AJ55" s="2">
        <f t="shared" si="86"/>
        <v>3034.5</v>
      </c>
      <c r="AK55" s="2">
        <f t="shared" si="86"/>
        <v>3034.5</v>
      </c>
      <c r="AL55" s="2">
        <f t="shared" si="86"/>
        <v>3034.5</v>
      </c>
      <c r="AM55" s="2">
        <f t="shared" si="86"/>
        <v>3034.5</v>
      </c>
      <c r="AN55" s="2">
        <f t="shared" si="86"/>
        <v>3034.5</v>
      </c>
      <c r="AO55" s="2">
        <f t="shared" si="86"/>
        <v>3034.5</v>
      </c>
      <c r="AP55" s="71">
        <f>SUM(AG55:AO55)</f>
        <v>27310.5</v>
      </c>
    </row>
    <row r="56" spans="1:42" x14ac:dyDescent="0.2">
      <c r="A56" t="s">
        <v>222</v>
      </c>
      <c r="B56" s="2">
        <f>'Transition min '!C8+15000</f>
        <v>39000</v>
      </c>
      <c r="C56" t="s">
        <v>223</v>
      </c>
      <c r="F56" s="2"/>
      <c r="G56" s="2">
        <f t="shared" si="84"/>
        <v>3250</v>
      </c>
      <c r="H56" s="2">
        <f t="shared" si="84"/>
        <v>3250</v>
      </c>
      <c r="I56" s="2">
        <f t="shared" si="84"/>
        <v>3250</v>
      </c>
      <c r="J56" s="2">
        <f t="shared" si="84"/>
        <v>3250</v>
      </c>
      <c r="K56" s="2">
        <f t="shared" si="84"/>
        <v>3250</v>
      </c>
      <c r="L56" s="2">
        <f t="shared" si="84"/>
        <v>3250</v>
      </c>
      <c r="M56" s="2">
        <f t="shared" si="84"/>
        <v>3250</v>
      </c>
      <c r="N56" s="2">
        <f t="shared" si="84"/>
        <v>3250</v>
      </c>
      <c r="O56" s="2">
        <f t="shared" si="84"/>
        <v>3250</v>
      </c>
      <c r="Q56" s="9">
        <f>SUM(D56:O56)</f>
        <v>29250</v>
      </c>
      <c r="S56" s="2">
        <f>O56*102%</f>
        <v>3315</v>
      </c>
      <c r="T56" s="2">
        <f t="shared" ref="T56:AD56" si="87">S56</f>
        <v>3315</v>
      </c>
      <c r="U56" s="2">
        <f t="shared" si="87"/>
        <v>3315</v>
      </c>
      <c r="V56" s="2">
        <f t="shared" si="87"/>
        <v>3315</v>
      </c>
      <c r="W56" s="2">
        <f t="shared" si="87"/>
        <v>3315</v>
      </c>
      <c r="X56" s="2">
        <f t="shared" si="87"/>
        <v>3315</v>
      </c>
      <c r="Y56" s="2">
        <f t="shared" si="87"/>
        <v>3315</v>
      </c>
      <c r="Z56" s="2">
        <f t="shared" si="87"/>
        <v>3315</v>
      </c>
      <c r="AA56" s="2">
        <f t="shared" si="87"/>
        <v>3315</v>
      </c>
      <c r="AB56" s="2">
        <f t="shared" si="87"/>
        <v>3315</v>
      </c>
      <c r="AC56" s="2">
        <f t="shared" si="87"/>
        <v>3315</v>
      </c>
      <c r="AD56" s="2">
        <f t="shared" si="87"/>
        <v>3315</v>
      </c>
      <c r="AE56" s="9">
        <f>SUM(S56:AD56)</f>
        <v>39780</v>
      </c>
      <c r="AG56" s="2">
        <f>AC56*102%</f>
        <v>3381.3</v>
      </c>
      <c r="AH56" s="2">
        <f t="shared" si="86"/>
        <v>3381.3</v>
      </c>
      <c r="AI56" s="2">
        <f t="shared" si="86"/>
        <v>3381.3</v>
      </c>
      <c r="AJ56" s="2">
        <f t="shared" si="86"/>
        <v>3381.3</v>
      </c>
      <c r="AK56" s="2">
        <f t="shared" si="86"/>
        <v>3381.3</v>
      </c>
      <c r="AL56" s="2">
        <f t="shared" si="86"/>
        <v>3381.3</v>
      </c>
      <c r="AM56" s="2">
        <f t="shared" si="86"/>
        <v>3381.3</v>
      </c>
      <c r="AN56" s="2">
        <f t="shared" si="86"/>
        <v>3381.3</v>
      </c>
      <c r="AO56" s="2">
        <f t="shared" si="86"/>
        <v>3381.3</v>
      </c>
      <c r="AP56" s="71">
        <f>SUM(AG56:AO56)</f>
        <v>30431.699999999997</v>
      </c>
    </row>
    <row r="57" spans="1:42" x14ac:dyDescent="0.2">
      <c r="A57" t="s">
        <v>421</v>
      </c>
      <c r="B57" s="1">
        <v>0.14000000000000001</v>
      </c>
      <c r="F57" s="2"/>
      <c r="G57" s="2">
        <f t="shared" ref="G57:O57" si="88">SUM(G53:G56)*$B57</f>
        <v>1534.166666666667</v>
      </c>
      <c r="H57" s="2">
        <f t="shared" si="88"/>
        <v>1755.8333333333335</v>
      </c>
      <c r="I57" s="2">
        <f t="shared" si="88"/>
        <v>1755.8333333333335</v>
      </c>
      <c r="J57" s="2">
        <f t="shared" si="88"/>
        <v>1755.8333333333335</v>
      </c>
      <c r="K57" s="2">
        <f t="shared" si="88"/>
        <v>1755.8333333333335</v>
      </c>
      <c r="L57" s="2">
        <f t="shared" si="88"/>
        <v>1755.8333333333335</v>
      </c>
      <c r="M57" s="2">
        <f t="shared" si="88"/>
        <v>1755.8333333333335</v>
      </c>
      <c r="N57" s="2">
        <f t="shared" si="88"/>
        <v>1755.8333333333335</v>
      </c>
      <c r="O57" s="2">
        <f t="shared" si="88"/>
        <v>1755.8333333333335</v>
      </c>
      <c r="Q57" s="9">
        <f>SUM(D57:O57)</f>
        <v>15580.833333333338</v>
      </c>
      <c r="S57" s="2">
        <f>O57*102%</f>
        <v>1790.9500000000003</v>
      </c>
      <c r="T57" s="2">
        <f t="shared" ref="T57:AD57" si="89">S57</f>
        <v>1790.9500000000003</v>
      </c>
      <c r="U57" s="2">
        <f t="shared" si="89"/>
        <v>1790.9500000000003</v>
      </c>
      <c r="V57" s="2">
        <f t="shared" si="89"/>
        <v>1790.9500000000003</v>
      </c>
      <c r="W57" s="2">
        <f t="shared" si="89"/>
        <v>1790.9500000000003</v>
      </c>
      <c r="X57" s="2">
        <f t="shared" si="89"/>
        <v>1790.9500000000003</v>
      </c>
      <c r="Y57" s="2">
        <f t="shared" si="89"/>
        <v>1790.9500000000003</v>
      </c>
      <c r="Z57" s="2">
        <f t="shared" si="89"/>
        <v>1790.9500000000003</v>
      </c>
      <c r="AA57" s="2">
        <f t="shared" si="89"/>
        <v>1790.9500000000003</v>
      </c>
      <c r="AB57" s="2">
        <f t="shared" si="89"/>
        <v>1790.9500000000003</v>
      </c>
      <c r="AC57" s="2">
        <f t="shared" si="89"/>
        <v>1790.9500000000003</v>
      </c>
      <c r="AD57" s="2">
        <f t="shared" si="89"/>
        <v>1790.9500000000003</v>
      </c>
      <c r="AE57" s="9">
        <f>SUM(S57:AD57)</f>
        <v>21491.400000000005</v>
      </c>
      <c r="AG57" s="2">
        <f>AC57*102%</f>
        <v>1826.7690000000002</v>
      </c>
      <c r="AH57" s="2">
        <f t="shared" ref="AH57:AO57" si="90">AG57</f>
        <v>1826.7690000000002</v>
      </c>
      <c r="AI57" s="2">
        <f t="shared" si="90"/>
        <v>1826.7690000000002</v>
      </c>
      <c r="AJ57" s="2">
        <f t="shared" si="90"/>
        <v>1826.7690000000002</v>
      </c>
      <c r="AK57" s="2">
        <f t="shared" si="90"/>
        <v>1826.7690000000002</v>
      </c>
      <c r="AL57" s="2">
        <f t="shared" si="90"/>
        <v>1826.7690000000002</v>
      </c>
      <c r="AM57" s="2">
        <f t="shared" si="90"/>
        <v>1826.7690000000002</v>
      </c>
      <c r="AN57" s="2">
        <f t="shared" si="90"/>
        <v>1826.7690000000002</v>
      </c>
      <c r="AO57" s="2">
        <f t="shared" si="90"/>
        <v>1826.7690000000002</v>
      </c>
      <c r="AP57" s="71">
        <f>SUM(AG57:AO57)</f>
        <v>16440.921000000002</v>
      </c>
    </row>
    <row r="58" spans="1:42" x14ac:dyDescent="0.2">
      <c r="A58" t="s">
        <v>339</v>
      </c>
      <c r="B58" s="21" t="s">
        <v>261</v>
      </c>
      <c r="F58" s="2"/>
      <c r="G58" s="2"/>
      <c r="H58" s="2"/>
      <c r="I58" s="2"/>
      <c r="J58" s="2"/>
      <c r="K58" s="2"/>
      <c r="L58" s="2"/>
      <c r="M58" s="2"/>
      <c r="N58" s="2"/>
      <c r="O58" s="2"/>
      <c r="Q58" s="9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9"/>
      <c r="AG58" s="2"/>
      <c r="AH58" s="2"/>
      <c r="AI58" s="2"/>
      <c r="AJ58" s="2"/>
      <c r="AK58" s="2"/>
      <c r="AL58" s="2"/>
      <c r="AM58" s="2"/>
      <c r="AN58" s="2"/>
      <c r="AO58" s="2"/>
      <c r="AP58" s="71"/>
    </row>
    <row r="59" spans="1:42" ht="8" customHeight="1" x14ac:dyDescent="0.2">
      <c r="B59" s="2"/>
      <c r="F59" s="2"/>
      <c r="G59" s="2"/>
      <c r="H59" s="2"/>
      <c r="I59" s="2"/>
      <c r="J59" s="2"/>
      <c r="K59" s="2"/>
      <c r="L59" s="2"/>
      <c r="M59" s="2"/>
      <c r="N59" s="2"/>
      <c r="O59" s="2"/>
      <c r="AP59" s="70"/>
    </row>
    <row r="60" spans="1:42" x14ac:dyDescent="0.2">
      <c r="A60" s="3" t="s">
        <v>197</v>
      </c>
      <c r="B60" s="2"/>
      <c r="F60" s="9"/>
      <c r="G60" s="9">
        <f t="shared" ref="G60:O60" si="91">SUM(G53:G59)</f>
        <v>12492.5</v>
      </c>
      <c r="H60" s="9">
        <f t="shared" si="91"/>
        <v>14297.5</v>
      </c>
      <c r="I60" s="9">
        <f t="shared" si="91"/>
        <v>14297.5</v>
      </c>
      <c r="J60" s="9">
        <f t="shared" si="91"/>
        <v>14297.5</v>
      </c>
      <c r="K60" s="9">
        <f t="shared" si="91"/>
        <v>14297.5</v>
      </c>
      <c r="L60" s="9">
        <f t="shared" si="91"/>
        <v>14297.5</v>
      </c>
      <c r="M60" s="9">
        <f t="shared" si="91"/>
        <v>14297.5</v>
      </c>
      <c r="N60" s="9">
        <f t="shared" si="91"/>
        <v>14297.5</v>
      </c>
      <c r="O60" s="9">
        <f t="shared" si="91"/>
        <v>14297.5</v>
      </c>
      <c r="Q60" s="31">
        <f>SUM(Q53:Q59)</f>
        <v>126872.50000000001</v>
      </c>
      <c r="S60" s="9">
        <f t="shared" ref="S60:AD60" si="92">SUM(S53:S59)</f>
        <v>14583.45</v>
      </c>
      <c r="T60" s="9">
        <f t="shared" si="92"/>
        <v>14583.45</v>
      </c>
      <c r="U60" s="9">
        <f t="shared" si="92"/>
        <v>14583.45</v>
      </c>
      <c r="V60" s="9">
        <f t="shared" si="92"/>
        <v>14583.45</v>
      </c>
      <c r="W60" s="9">
        <f t="shared" si="92"/>
        <v>14583.45</v>
      </c>
      <c r="X60" s="9">
        <f t="shared" si="92"/>
        <v>14583.45</v>
      </c>
      <c r="Y60" s="9">
        <f t="shared" si="92"/>
        <v>14583.45</v>
      </c>
      <c r="Z60" s="9">
        <f t="shared" si="92"/>
        <v>14583.45</v>
      </c>
      <c r="AA60" s="9">
        <f t="shared" si="92"/>
        <v>14583.45</v>
      </c>
      <c r="AB60" s="9">
        <f t="shared" si="92"/>
        <v>14583.45</v>
      </c>
      <c r="AC60" s="9">
        <f t="shared" si="92"/>
        <v>14583.45</v>
      </c>
      <c r="AD60" s="9">
        <f t="shared" si="92"/>
        <v>14583.45</v>
      </c>
      <c r="AE60" s="9">
        <f>SUM(S60:AD60)</f>
        <v>175001.40000000002</v>
      </c>
      <c r="AG60" s="9">
        <f t="shared" ref="AG60:AO60" si="93">SUM(AG53:AG59)</f>
        <v>14875.118999999999</v>
      </c>
      <c r="AH60" s="9">
        <f t="shared" si="93"/>
        <v>14875.118999999999</v>
      </c>
      <c r="AI60" s="9">
        <f t="shared" si="93"/>
        <v>14875.118999999999</v>
      </c>
      <c r="AJ60" s="9">
        <f t="shared" si="93"/>
        <v>14875.118999999999</v>
      </c>
      <c r="AK60" s="9">
        <f t="shared" si="93"/>
        <v>14875.118999999999</v>
      </c>
      <c r="AL60" s="9">
        <f t="shared" si="93"/>
        <v>14875.118999999999</v>
      </c>
      <c r="AM60" s="9">
        <f t="shared" si="93"/>
        <v>14875.118999999999</v>
      </c>
      <c r="AN60" s="9">
        <f t="shared" si="93"/>
        <v>14875.118999999999</v>
      </c>
      <c r="AO60" s="9">
        <f t="shared" si="93"/>
        <v>14875.118999999999</v>
      </c>
      <c r="AP60" s="71">
        <f>SUM(AG60:AO60)</f>
        <v>133876.07100000003</v>
      </c>
    </row>
    <row r="61" spans="1:42" x14ac:dyDescent="0.2">
      <c r="B61" s="2"/>
      <c r="AP61" s="70"/>
    </row>
    <row r="62" spans="1:42" x14ac:dyDescent="0.2">
      <c r="A62" s="43" t="s">
        <v>434</v>
      </c>
      <c r="B62" s="2"/>
      <c r="AP62" s="70"/>
    </row>
    <row r="63" spans="1:42" x14ac:dyDescent="0.2">
      <c r="A63" s="39" t="s">
        <v>26</v>
      </c>
      <c r="B63" s="2">
        <v>100000</v>
      </c>
      <c r="C63" t="s">
        <v>263</v>
      </c>
      <c r="F63" s="2"/>
      <c r="G63" s="2">
        <v>11000</v>
      </c>
      <c r="H63" s="2">
        <v>11000</v>
      </c>
      <c r="I63" s="2">
        <v>11000</v>
      </c>
      <c r="J63" s="2">
        <v>11000</v>
      </c>
      <c r="K63" s="2">
        <v>11000</v>
      </c>
      <c r="L63" s="2">
        <v>50000</v>
      </c>
      <c r="M63" s="2"/>
      <c r="N63" s="2"/>
      <c r="O63" s="2"/>
      <c r="Q63" s="9">
        <f>SUM(D63:O63)</f>
        <v>105000</v>
      </c>
      <c r="S63" s="2"/>
      <c r="T63" s="2"/>
      <c r="U63" s="2"/>
      <c r="V63" s="2"/>
      <c r="W63" s="2"/>
      <c r="X63" s="2"/>
      <c r="Y63" s="2"/>
      <c r="Z63" s="2"/>
      <c r="AA63" s="2">
        <v>50000</v>
      </c>
      <c r="AB63" s="2"/>
      <c r="AC63" s="2"/>
      <c r="AD63" s="2"/>
      <c r="AE63" s="9">
        <f>SUM(S63:AD63)</f>
        <v>50000</v>
      </c>
      <c r="AG63" s="2"/>
      <c r="AH63" s="2"/>
      <c r="AI63" s="2"/>
      <c r="AJ63" s="2"/>
      <c r="AK63" s="2"/>
      <c r="AL63" s="2"/>
      <c r="AM63" s="2"/>
      <c r="AN63" s="2"/>
      <c r="AO63" s="2">
        <v>50000</v>
      </c>
      <c r="AP63" s="71">
        <f>SUM(AG63:AO63)</f>
        <v>50000</v>
      </c>
    </row>
    <row r="64" spans="1:42" x14ac:dyDescent="0.2">
      <c r="A64" s="39" t="s">
        <v>216</v>
      </c>
      <c r="B64" s="2">
        <v>35000</v>
      </c>
      <c r="F64" s="2"/>
      <c r="G64" s="2">
        <f t="shared" ref="G64:O66" si="94">$B64/12</f>
        <v>2916.6666666666665</v>
      </c>
      <c r="H64" s="2">
        <f t="shared" si="94"/>
        <v>2916.6666666666665</v>
      </c>
      <c r="I64" s="2">
        <f t="shared" si="94"/>
        <v>2916.6666666666665</v>
      </c>
      <c r="J64" s="2">
        <f t="shared" si="94"/>
        <v>2916.6666666666665</v>
      </c>
      <c r="K64" s="2">
        <f t="shared" si="94"/>
        <v>2916.6666666666665</v>
      </c>
      <c r="L64" s="2">
        <f t="shared" si="94"/>
        <v>2916.6666666666665</v>
      </c>
      <c r="M64" s="2">
        <f t="shared" si="94"/>
        <v>2916.6666666666665</v>
      </c>
      <c r="N64" s="2">
        <f t="shared" si="94"/>
        <v>2916.6666666666665</v>
      </c>
      <c r="O64" s="2">
        <f t="shared" si="94"/>
        <v>2916.6666666666665</v>
      </c>
      <c r="Q64" s="9">
        <f>SUM(D64:O64)</f>
        <v>26250.000000000004</v>
      </c>
      <c r="S64" s="2">
        <f>O64*102%</f>
        <v>2975</v>
      </c>
      <c r="T64" s="2">
        <f t="shared" ref="T64:AD64" si="95">S64</f>
        <v>2975</v>
      </c>
      <c r="U64" s="2">
        <f t="shared" si="95"/>
        <v>2975</v>
      </c>
      <c r="V64" s="2">
        <f t="shared" si="95"/>
        <v>2975</v>
      </c>
      <c r="W64" s="2">
        <f t="shared" si="95"/>
        <v>2975</v>
      </c>
      <c r="X64" s="2">
        <f t="shared" si="95"/>
        <v>2975</v>
      </c>
      <c r="Y64" s="2">
        <f t="shared" si="95"/>
        <v>2975</v>
      </c>
      <c r="Z64" s="2">
        <f t="shared" si="95"/>
        <v>2975</v>
      </c>
      <c r="AA64" s="2">
        <f t="shared" si="95"/>
        <v>2975</v>
      </c>
      <c r="AB64" s="2">
        <f t="shared" si="95"/>
        <v>2975</v>
      </c>
      <c r="AC64" s="2">
        <f t="shared" si="95"/>
        <v>2975</v>
      </c>
      <c r="AD64" s="2">
        <f t="shared" si="95"/>
        <v>2975</v>
      </c>
      <c r="AE64" s="9">
        <f>SUM(S64:AD64)</f>
        <v>35700</v>
      </c>
      <c r="AG64" s="2">
        <f>AC64*102%</f>
        <v>3034.5</v>
      </c>
      <c r="AH64" s="2">
        <f t="shared" ref="AH64:AO66" si="96">AG64</f>
        <v>3034.5</v>
      </c>
      <c r="AI64" s="2">
        <f t="shared" si="96"/>
        <v>3034.5</v>
      </c>
      <c r="AJ64" s="2">
        <f t="shared" si="96"/>
        <v>3034.5</v>
      </c>
      <c r="AK64" s="2">
        <f t="shared" si="96"/>
        <v>3034.5</v>
      </c>
      <c r="AL64" s="2">
        <f t="shared" si="96"/>
        <v>3034.5</v>
      </c>
      <c r="AM64" s="2">
        <f t="shared" si="96"/>
        <v>3034.5</v>
      </c>
      <c r="AN64" s="2">
        <f t="shared" si="96"/>
        <v>3034.5</v>
      </c>
      <c r="AO64" s="2">
        <f t="shared" si="96"/>
        <v>3034.5</v>
      </c>
      <c r="AP64" s="71">
        <f>SUM(AG64:AO64)</f>
        <v>27310.5</v>
      </c>
    </row>
    <row r="65" spans="1:42" x14ac:dyDescent="0.2">
      <c r="A65" s="39" t="s">
        <v>215</v>
      </c>
      <c r="B65" s="2">
        <v>3421</v>
      </c>
      <c r="F65" s="2"/>
      <c r="G65" s="2">
        <f t="shared" si="94"/>
        <v>285.08333333333331</v>
      </c>
      <c r="H65" s="2">
        <f t="shared" si="94"/>
        <v>285.08333333333331</v>
      </c>
      <c r="I65" s="2">
        <f t="shared" si="94"/>
        <v>285.08333333333331</v>
      </c>
      <c r="J65" s="2">
        <f t="shared" si="94"/>
        <v>285.08333333333331</v>
      </c>
      <c r="K65" s="2">
        <f t="shared" si="94"/>
        <v>285.08333333333331</v>
      </c>
      <c r="L65" s="2">
        <f t="shared" si="94"/>
        <v>285.08333333333331</v>
      </c>
      <c r="M65" s="2">
        <f t="shared" si="94"/>
        <v>285.08333333333331</v>
      </c>
      <c r="N65" s="2">
        <f t="shared" si="94"/>
        <v>285.08333333333331</v>
      </c>
      <c r="O65" s="2">
        <f t="shared" si="94"/>
        <v>285.08333333333331</v>
      </c>
      <c r="Q65" s="9">
        <f>SUM(D65:O65)</f>
        <v>2565.75</v>
      </c>
      <c r="S65" s="7">
        <f>O65*102%</f>
        <v>290.78499999999997</v>
      </c>
      <c r="T65" s="2">
        <f t="shared" ref="T65:AD65" si="97">S65</f>
        <v>290.78499999999997</v>
      </c>
      <c r="U65" s="2">
        <f t="shared" si="97"/>
        <v>290.78499999999997</v>
      </c>
      <c r="V65" s="2">
        <f t="shared" si="97"/>
        <v>290.78499999999997</v>
      </c>
      <c r="W65" s="2">
        <f t="shared" si="97"/>
        <v>290.78499999999997</v>
      </c>
      <c r="X65" s="2">
        <f t="shared" si="97"/>
        <v>290.78499999999997</v>
      </c>
      <c r="Y65" s="2">
        <f t="shared" si="97"/>
        <v>290.78499999999997</v>
      </c>
      <c r="Z65" s="2">
        <f t="shared" si="97"/>
        <v>290.78499999999997</v>
      </c>
      <c r="AA65" s="2">
        <f t="shared" si="97"/>
        <v>290.78499999999997</v>
      </c>
      <c r="AB65" s="2">
        <f t="shared" si="97"/>
        <v>290.78499999999997</v>
      </c>
      <c r="AC65" s="2">
        <f t="shared" si="97"/>
        <v>290.78499999999997</v>
      </c>
      <c r="AD65" s="2">
        <f t="shared" si="97"/>
        <v>290.78499999999997</v>
      </c>
      <c r="AE65" s="9">
        <f>SUM(S65:AD65)</f>
        <v>3489.4199999999987</v>
      </c>
      <c r="AG65" s="2">
        <f>AC65*102%</f>
        <v>296.60069999999996</v>
      </c>
      <c r="AH65" s="2">
        <f t="shared" si="96"/>
        <v>296.60069999999996</v>
      </c>
      <c r="AI65" s="2">
        <f t="shared" si="96"/>
        <v>296.60069999999996</v>
      </c>
      <c r="AJ65" s="2">
        <f t="shared" si="96"/>
        <v>296.60069999999996</v>
      </c>
      <c r="AK65" s="2">
        <f t="shared" si="96"/>
        <v>296.60069999999996</v>
      </c>
      <c r="AL65" s="2">
        <f t="shared" si="96"/>
        <v>296.60069999999996</v>
      </c>
      <c r="AM65" s="2">
        <f t="shared" si="96"/>
        <v>296.60069999999996</v>
      </c>
      <c r="AN65" s="2">
        <f t="shared" si="96"/>
        <v>296.60069999999996</v>
      </c>
      <c r="AO65" s="2">
        <f t="shared" si="96"/>
        <v>296.60069999999996</v>
      </c>
      <c r="AP65" s="71">
        <f>SUM(AG65:AO65)</f>
        <v>2669.4062999999996</v>
      </c>
    </row>
    <row r="66" spans="1:42" x14ac:dyDescent="0.2">
      <c r="A66" s="39" t="s">
        <v>207</v>
      </c>
      <c r="B66" s="2">
        <v>65000</v>
      </c>
      <c r="F66" s="2"/>
      <c r="G66" s="2">
        <f t="shared" si="94"/>
        <v>5416.666666666667</v>
      </c>
      <c r="H66" s="2">
        <f t="shared" si="94"/>
        <v>5416.666666666667</v>
      </c>
      <c r="I66" s="2">
        <f t="shared" si="94"/>
        <v>5416.666666666667</v>
      </c>
      <c r="J66" s="2">
        <f t="shared" si="94"/>
        <v>5416.666666666667</v>
      </c>
      <c r="K66" s="2">
        <f t="shared" si="94"/>
        <v>5416.666666666667</v>
      </c>
      <c r="L66" s="2">
        <f t="shared" si="94"/>
        <v>5416.666666666667</v>
      </c>
      <c r="M66" s="2">
        <f t="shared" si="94"/>
        <v>5416.666666666667</v>
      </c>
      <c r="N66" s="2">
        <f t="shared" si="94"/>
        <v>5416.666666666667</v>
      </c>
      <c r="O66" s="2">
        <f t="shared" si="94"/>
        <v>5416.666666666667</v>
      </c>
      <c r="Q66" s="9">
        <f>SUM(D66:O66)</f>
        <v>48750</v>
      </c>
      <c r="S66" s="2">
        <f>O66*102%</f>
        <v>5525</v>
      </c>
      <c r="T66" s="2">
        <f t="shared" ref="T66:AD66" si="98">S66</f>
        <v>5525</v>
      </c>
      <c r="U66" s="2">
        <f t="shared" si="98"/>
        <v>5525</v>
      </c>
      <c r="V66" s="2">
        <f t="shared" si="98"/>
        <v>5525</v>
      </c>
      <c r="W66" s="2">
        <f t="shared" si="98"/>
        <v>5525</v>
      </c>
      <c r="X66" s="2">
        <f t="shared" si="98"/>
        <v>5525</v>
      </c>
      <c r="Y66" s="2">
        <f t="shared" si="98"/>
        <v>5525</v>
      </c>
      <c r="Z66" s="2">
        <f t="shared" si="98"/>
        <v>5525</v>
      </c>
      <c r="AA66" s="2">
        <f t="shared" si="98"/>
        <v>5525</v>
      </c>
      <c r="AB66" s="2">
        <f t="shared" si="98"/>
        <v>5525</v>
      </c>
      <c r="AC66" s="2">
        <f t="shared" si="98"/>
        <v>5525</v>
      </c>
      <c r="AD66" s="2">
        <f t="shared" si="98"/>
        <v>5525</v>
      </c>
      <c r="AE66" s="9">
        <f>SUM(S66:AD66)</f>
        <v>66300</v>
      </c>
      <c r="AG66" s="2">
        <f>AC66*102%</f>
        <v>5635.5</v>
      </c>
      <c r="AH66" s="2">
        <f t="shared" si="96"/>
        <v>5635.5</v>
      </c>
      <c r="AI66" s="2">
        <f t="shared" si="96"/>
        <v>5635.5</v>
      </c>
      <c r="AJ66" s="2">
        <f t="shared" si="96"/>
        <v>5635.5</v>
      </c>
      <c r="AK66" s="2">
        <f t="shared" si="96"/>
        <v>5635.5</v>
      </c>
      <c r="AL66" s="2">
        <f t="shared" si="96"/>
        <v>5635.5</v>
      </c>
      <c r="AM66" s="2">
        <f t="shared" si="96"/>
        <v>5635.5</v>
      </c>
      <c r="AN66" s="2">
        <f t="shared" si="96"/>
        <v>5635.5</v>
      </c>
      <c r="AO66" s="2">
        <f t="shared" si="96"/>
        <v>5635.5</v>
      </c>
      <c r="AP66" s="71">
        <f>SUM(AG66:AO66)</f>
        <v>50719.5</v>
      </c>
    </row>
    <row r="67" spans="1:42" ht="8" customHeight="1" x14ac:dyDescent="0.2">
      <c r="B67" s="2"/>
      <c r="AP67" s="70"/>
    </row>
    <row r="68" spans="1:42" x14ac:dyDescent="0.2">
      <c r="A68" s="3" t="s">
        <v>210</v>
      </c>
      <c r="B68" s="2"/>
      <c r="F68" s="9"/>
      <c r="G68" s="9">
        <f t="shared" ref="G68:O68" si="99">SUM(G63:G67)</f>
        <v>19618.416666666668</v>
      </c>
      <c r="H68" s="9">
        <f t="shared" si="99"/>
        <v>19618.416666666668</v>
      </c>
      <c r="I68" s="9">
        <f t="shared" si="99"/>
        <v>19618.416666666668</v>
      </c>
      <c r="J68" s="9">
        <f t="shared" si="99"/>
        <v>19618.416666666668</v>
      </c>
      <c r="K68" s="9">
        <f t="shared" si="99"/>
        <v>19618.416666666668</v>
      </c>
      <c r="L68" s="9">
        <f t="shared" si="99"/>
        <v>58618.416666666664</v>
      </c>
      <c r="M68" s="9">
        <f t="shared" si="99"/>
        <v>8618.4166666666679</v>
      </c>
      <c r="N68" s="9">
        <f t="shared" si="99"/>
        <v>8618.4166666666679</v>
      </c>
      <c r="O68" s="9">
        <f t="shared" si="99"/>
        <v>8618.4166666666679</v>
      </c>
      <c r="Q68" s="31">
        <f>SUM(Q63:Q67)</f>
        <v>182565.75</v>
      </c>
      <c r="S68" s="9">
        <f t="shared" ref="S68:AD68" si="100">SUM(S63:S67)</f>
        <v>8790.7849999999999</v>
      </c>
      <c r="T68" s="9">
        <f t="shared" si="100"/>
        <v>8790.7849999999999</v>
      </c>
      <c r="U68" s="9">
        <f t="shared" si="100"/>
        <v>8790.7849999999999</v>
      </c>
      <c r="V68" s="9">
        <f t="shared" si="100"/>
        <v>8790.7849999999999</v>
      </c>
      <c r="W68" s="9">
        <f t="shared" si="100"/>
        <v>8790.7849999999999</v>
      </c>
      <c r="X68" s="9">
        <f t="shared" si="100"/>
        <v>8790.7849999999999</v>
      </c>
      <c r="Y68" s="9">
        <f t="shared" si="100"/>
        <v>8790.7849999999999</v>
      </c>
      <c r="Z68" s="9">
        <f t="shared" si="100"/>
        <v>8790.7849999999999</v>
      </c>
      <c r="AA68" s="9">
        <f t="shared" si="100"/>
        <v>58790.785000000003</v>
      </c>
      <c r="AB68" s="9">
        <f t="shared" si="100"/>
        <v>8790.7849999999999</v>
      </c>
      <c r="AC68" s="9">
        <f t="shared" si="100"/>
        <v>8790.7849999999999</v>
      </c>
      <c r="AD68" s="9">
        <f t="shared" si="100"/>
        <v>8790.7849999999999</v>
      </c>
      <c r="AE68" s="9">
        <f>SUM(S68:AD68)</f>
        <v>155489.42000000001</v>
      </c>
      <c r="AG68" s="9">
        <f t="shared" ref="AG68:AO68" si="101">SUM(AG63:AG67)</f>
        <v>8966.6006999999991</v>
      </c>
      <c r="AH68" s="9">
        <f t="shared" si="101"/>
        <v>8966.6006999999991</v>
      </c>
      <c r="AI68" s="9">
        <f t="shared" si="101"/>
        <v>8966.6006999999991</v>
      </c>
      <c r="AJ68" s="9">
        <f t="shared" si="101"/>
        <v>8966.6006999999991</v>
      </c>
      <c r="AK68" s="9">
        <f t="shared" si="101"/>
        <v>8966.6006999999991</v>
      </c>
      <c r="AL68" s="9">
        <f t="shared" si="101"/>
        <v>8966.6006999999991</v>
      </c>
      <c r="AM68" s="9">
        <f t="shared" si="101"/>
        <v>8966.6006999999991</v>
      </c>
      <c r="AN68" s="9">
        <f t="shared" si="101"/>
        <v>8966.6006999999991</v>
      </c>
      <c r="AO68" s="9">
        <f t="shared" si="101"/>
        <v>58966.600700000003</v>
      </c>
      <c r="AP68" s="71">
        <f>SUM(AG68:AO68)</f>
        <v>130699.40629999997</v>
      </c>
    </row>
    <row r="69" spans="1:42" x14ac:dyDescent="0.2">
      <c r="B69" s="2"/>
      <c r="AP69" s="70"/>
    </row>
    <row r="70" spans="1:42" x14ac:dyDescent="0.2">
      <c r="A70" s="3" t="s">
        <v>199</v>
      </c>
      <c r="B70" s="2"/>
      <c r="AP70" s="70"/>
    </row>
    <row r="71" spans="1:42" x14ac:dyDescent="0.2">
      <c r="A71" s="42" t="s">
        <v>200</v>
      </c>
      <c r="B71" s="2">
        <v>6000</v>
      </c>
      <c r="C71" s="42"/>
      <c r="F71" s="2"/>
      <c r="G71" s="2">
        <f t="shared" ref="G71:O75" si="102">$B71/12</f>
        <v>500</v>
      </c>
      <c r="H71" s="2">
        <f t="shared" si="102"/>
        <v>500</v>
      </c>
      <c r="I71" s="2">
        <f t="shared" si="102"/>
        <v>500</v>
      </c>
      <c r="J71" s="2">
        <f t="shared" si="102"/>
        <v>500</v>
      </c>
      <c r="K71" s="2">
        <f t="shared" si="102"/>
        <v>500</v>
      </c>
      <c r="L71" s="2">
        <f t="shared" si="102"/>
        <v>500</v>
      </c>
      <c r="M71" s="2">
        <f t="shared" si="102"/>
        <v>500</v>
      </c>
      <c r="N71" s="2">
        <f t="shared" si="102"/>
        <v>500</v>
      </c>
      <c r="O71" s="2">
        <f t="shared" si="102"/>
        <v>500</v>
      </c>
      <c r="Q71" s="9">
        <f>SUM(D71:O71)</f>
        <v>4500</v>
      </c>
      <c r="S71" s="2">
        <f>O71*102%</f>
        <v>510</v>
      </c>
      <c r="T71" s="2">
        <f t="shared" ref="T71:AD71" si="103">S71</f>
        <v>510</v>
      </c>
      <c r="U71" s="2">
        <f t="shared" si="103"/>
        <v>510</v>
      </c>
      <c r="V71" s="2">
        <f t="shared" si="103"/>
        <v>510</v>
      </c>
      <c r="W71" s="2">
        <f t="shared" si="103"/>
        <v>510</v>
      </c>
      <c r="X71" s="2">
        <f t="shared" si="103"/>
        <v>510</v>
      </c>
      <c r="Y71" s="2">
        <f t="shared" si="103"/>
        <v>510</v>
      </c>
      <c r="Z71" s="2">
        <f t="shared" si="103"/>
        <v>510</v>
      </c>
      <c r="AA71" s="2">
        <f t="shared" si="103"/>
        <v>510</v>
      </c>
      <c r="AB71" s="2">
        <f t="shared" si="103"/>
        <v>510</v>
      </c>
      <c r="AC71" s="2">
        <f t="shared" si="103"/>
        <v>510</v>
      </c>
      <c r="AD71" s="2">
        <f t="shared" si="103"/>
        <v>510</v>
      </c>
      <c r="AE71" s="9">
        <f>SUM(S71:AD71)</f>
        <v>6120</v>
      </c>
      <c r="AG71" s="2">
        <f>AD71*102%</f>
        <v>520.20000000000005</v>
      </c>
      <c r="AH71" s="2">
        <f t="shared" ref="AH71:AO75" si="104">AG71</f>
        <v>520.20000000000005</v>
      </c>
      <c r="AI71" s="2">
        <f t="shared" si="104"/>
        <v>520.20000000000005</v>
      </c>
      <c r="AJ71" s="2">
        <f t="shared" si="104"/>
        <v>520.20000000000005</v>
      </c>
      <c r="AK71" s="2">
        <f t="shared" si="104"/>
        <v>520.20000000000005</v>
      </c>
      <c r="AL71" s="2">
        <f t="shared" si="104"/>
        <v>520.20000000000005</v>
      </c>
      <c r="AM71" s="2">
        <f t="shared" si="104"/>
        <v>520.20000000000005</v>
      </c>
      <c r="AN71" s="2">
        <f t="shared" si="104"/>
        <v>520.20000000000005</v>
      </c>
      <c r="AO71" s="2">
        <f t="shared" si="104"/>
        <v>520.20000000000005</v>
      </c>
      <c r="AP71" s="71">
        <f>SUM(AG71:AO71)</f>
        <v>4681.7999999999993</v>
      </c>
    </row>
    <row r="72" spans="1:42" x14ac:dyDescent="0.2">
      <c r="A72" s="39" t="s">
        <v>205</v>
      </c>
      <c r="B72" s="2">
        <v>2400</v>
      </c>
      <c r="C72" s="39"/>
      <c r="F72" s="2"/>
      <c r="G72" s="2">
        <f t="shared" si="102"/>
        <v>200</v>
      </c>
      <c r="H72" s="2">
        <f t="shared" si="102"/>
        <v>200</v>
      </c>
      <c r="I72" s="2">
        <f t="shared" si="102"/>
        <v>200</v>
      </c>
      <c r="J72" s="2">
        <f t="shared" si="102"/>
        <v>200</v>
      </c>
      <c r="K72" s="2">
        <f t="shared" si="102"/>
        <v>200</v>
      </c>
      <c r="L72" s="2">
        <f t="shared" si="102"/>
        <v>200</v>
      </c>
      <c r="M72" s="2">
        <f t="shared" si="102"/>
        <v>200</v>
      </c>
      <c r="N72" s="2">
        <f t="shared" si="102"/>
        <v>200</v>
      </c>
      <c r="O72" s="2">
        <f t="shared" si="102"/>
        <v>200</v>
      </c>
      <c r="Q72" s="9">
        <f>SUM(D72:O72)</f>
        <v>1800</v>
      </c>
      <c r="S72" s="2">
        <f>O72*102%</f>
        <v>204</v>
      </c>
      <c r="T72" s="2">
        <f t="shared" ref="T72:AD72" si="105">S72</f>
        <v>204</v>
      </c>
      <c r="U72" s="2">
        <f t="shared" si="105"/>
        <v>204</v>
      </c>
      <c r="V72" s="2">
        <f t="shared" si="105"/>
        <v>204</v>
      </c>
      <c r="W72" s="2">
        <f t="shared" si="105"/>
        <v>204</v>
      </c>
      <c r="X72" s="2">
        <f t="shared" si="105"/>
        <v>204</v>
      </c>
      <c r="Y72" s="2">
        <f t="shared" si="105"/>
        <v>204</v>
      </c>
      <c r="Z72" s="2">
        <f t="shared" si="105"/>
        <v>204</v>
      </c>
      <c r="AA72" s="2">
        <f t="shared" si="105"/>
        <v>204</v>
      </c>
      <c r="AB72" s="2">
        <f t="shared" si="105"/>
        <v>204</v>
      </c>
      <c r="AC72" s="2">
        <f t="shared" si="105"/>
        <v>204</v>
      </c>
      <c r="AD72" s="2">
        <f t="shared" si="105"/>
        <v>204</v>
      </c>
      <c r="AE72" s="9">
        <f>SUM(S72:AD72)</f>
        <v>2448</v>
      </c>
      <c r="AG72" s="2">
        <f>AD72*102%</f>
        <v>208.08</v>
      </c>
      <c r="AH72" s="2">
        <f t="shared" si="104"/>
        <v>208.08</v>
      </c>
      <c r="AI72" s="2">
        <f t="shared" si="104"/>
        <v>208.08</v>
      </c>
      <c r="AJ72" s="2">
        <f t="shared" si="104"/>
        <v>208.08</v>
      </c>
      <c r="AK72" s="2">
        <f t="shared" si="104"/>
        <v>208.08</v>
      </c>
      <c r="AL72" s="2">
        <f t="shared" si="104"/>
        <v>208.08</v>
      </c>
      <c r="AM72" s="2">
        <f t="shared" si="104"/>
        <v>208.08</v>
      </c>
      <c r="AN72" s="2">
        <f t="shared" si="104"/>
        <v>208.08</v>
      </c>
      <c r="AO72" s="2">
        <f t="shared" si="104"/>
        <v>208.08</v>
      </c>
      <c r="AP72" s="71">
        <f>SUM(AG72:AO72)</f>
        <v>1872.7199999999998</v>
      </c>
    </row>
    <row r="73" spans="1:42" x14ac:dyDescent="0.2">
      <c r="A73" s="39" t="s">
        <v>201</v>
      </c>
      <c r="B73" s="2">
        <v>3000</v>
      </c>
      <c r="C73" s="39"/>
      <c r="F73" s="2"/>
      <c r="G73" s="2">
        <f t="shared" si="102"/>
        <v>250</v>
      </c>
      <c r="H73" s="2">
        <f t="shared" si="102"/>
        <v>250</v>
      </c>
      <c r="I73" s="2">
        <f t="shared" si="102"/>
        <v>250</v>
      </c>
      <c r="J73" s="2">
        <f t="shared" si="102"/>
        <v>250</v>
      </c>
      <c r="K73" s="2">
        <f t="shared" si="102"/>
        <v>250</v>
      </c>
      <c r="L73" s="2">
        <f t="shared" si="102"/>
        <v>250</v>
      </c>
      <c r="M73" s="2">
        <f t="shared" si="102"/>
        <v>250</v>
      </c>
      <c r="N73" s="2">
        <f t="shared" si="102"/>
        <v>250</v>
      </c>
      <c r="O73" s="2">
        <f t="shared" si="102"/>
        <v>250</v>
      </c>
      <c r="Q73" s="9">
        <f>SUM(D73:O73)</f>
        <v>2250</v>
      </c>
      <c r="S73" s="2">
        <f>O73*102%</f>
        <v>255</v>
      </c>
      <c r="T73" s="2">
        <f t="shared" ref="T73:AD73" si="106">S73</f>
        <v>255</v>
      </c>
      <c r="U73" s="2">
        <f t="shared" si="106"/>
        <v>255</v>
      </c>
      <c r="V73" s="2">
        <f t="shared" si="106"/>
        <v>255</v>
      </c>
      <c r="W73" s="2">
        <f t="shared" si="106"/>
        <v>255</v>
      </c>
      <c r="X73" s="2">
        <f t="shared" si="106"/>
        <v>255</v>
      </c>
      <c r="Y73" s="2">
        <f t="shared" si="106"/>
        <v>255</v>
      </c>
      <c r="Z73" s="2">
        <f t="shared" si="106"/>
        <v>255</v>
      </c>
      <c r="AA73" s="2">
        <f t="shared" si="106"/>
        <v>255</v>
      </c>
      <c r="AB73" s="2">
        <f t="shared" si="106"/>
        <v>255</v>
      </c>
      <c r="AC73" s="2">
        <f t="shared" si="106"/>
        <v>255</v>
      </c>
      <c r="AD73" s="2">
        <f t="shared" si="106"/>
        <v>255</v>
      </c>
      <c r="AE73" s="9">
        <f>SUM(S73:AD73)</f>
        <v>3060</v>
      </c>
      <c r="AG73" s="2">
        <f>AD73*102%</f>
        <v>260.10000000000002</v>
      </c>
      <c r="AH73" s="2">
        <f t="shared" si="104"/>
        <v>260.10000000000002</v>
      </c>
      <c r="AI73" s="2">
        <f t="shared" si="104"/>
        <v>260.10000000000002</v>
      </c>
      <c r="AJ73" s="2">
        <f t="shared" si="104"/>
        <v>260.10000000000002</v>
      </c>
      <c r="AK73" s="2">
        <f t="shared" si="104"/>
        <v>260.10000000000002</v>
      </c>
      <c r="AL73" s="2">
        <f t="shared" si="104"/>
        <v>260.10000000000002</v>
      </c>
      <c r="AM73" s="2">
        <f t="shared" si="104"/>
        <v>260.10000000000002</v>
      </c>
      <c r="AN73" s="2">
        <f t="shared" si="104"/>
        <v>260.10000000000002</v>
      </c>
      <c r="AO73" s="2">
        <f t="shared" si="104"/>
        <v>260.10000000000002</v>
      </c>
      <c r="AP73" s="71">
        <f>SUM(AG73:AO73)</f>
        <v>2340.8999999999996</v>
      </c>
    </row>
    <row r="74" spans="1:42" x14ac:dyDescent="0.2">
      <c r="A74" s="42" t="s">
        <v>202</v>
      </c>
      <c r="B74" s="2">
        <f>1500+7500</f>
        <v>9000</v>
      </c>
      <c r="C74" s="42"/>
      <c r="F74" s="2"/>
      <c r="G74" s="2">
        <f t="shared" si="102"/>
        <v>750</v>
      </c>
      <c r="H74" s="2">
        <f t="shared" si="102"/>
        <v>750</v>
      </c>
      <c r="I74" s="2">
        <f t="shared" si="102"/>
        <v>750</v>
      </c>
      <c r="J74" s="2">
        <f t="shared" si="102"/>
        <v>750</v>
      </c>
      <c r="K74" s="2">
        <f t="shared" si="102"/>
        <v>750</v>
      </c>
      <c r="L74" s="2">
        <f t="shared" si="102"/>
        <v>750</v>
      </c>
      <c r="M74" s="2">
        <f t="shared" si="102"/>
        <v>750</v>
      </c>
      <c r="N74" s="2">
        <f t="shared" si="102"/>
        <v>750</v>
      </c>
      <c r="O74" s="2">
        <f t="shared" si="102"/>
        <v>750</v>
      </c>
      <c r="Q74" s="9">
        <f>SUM(D74:O74)</f>
        <v>6750</v>
      </c>
      <c r="S74" s="2">
        <f>O74*102%</f>
        <v>765</v>
      </c>
      <c r="T74" s="2">
        <f t="shared" ref="T74:AD74" si="107">S74</f>
        <v>765</v>
      </c>
      <c r="U74" s="2">
        <f t="shared" si="107"/>
        <v>765</v>
      </c>
      <c r="V74" s="2">
        <f t="shared" si="107"/>
        <v>765</v>
      </c>
      <c r="W74" s="2">
        <f t="shared" si="107"/>
        <v>765</v>
      </c>
      <c r="X74" s="2">
        <f t="shared" si="107"/>
        <v>765</v>
      </c>
      <c r="Y74" s="2">
        <f t="shared" si="107"/>
        <v>765</v>
      </c>
      <c r="Z74" s="2">
        <f t="shared" si="107"/>
        <v>765</v>
      </c>
      <c r="AA74" s="2">
        <f t="shared" si="107"/>
        <v>765</v>
      </c>
      <c r="AB74" s="2">
        <f t="shared" si="107"/>
        <v>765</v>
      </c>
      <c r="AC74" s="2">
        <f t="shared" si="107"/>
        <v>765</v>
      </c>
      <c r="AD74" s="2">
        <f t="shared" si="107"/>
        <v>765</v>
      </c>
      <c r="AE74" s="9">
        <f>SUM(S74:AD74)</f>
        <v>9180</v>
      </c>
      <c r="AG74" s="2">
        <f>AD74*102%</f>
        <v>780.30000000000007</v>
      </c>
      <c r="AH74" s="2">
        <f t="shared" si="104"/>
        <v>780.30000000000007</v>
      </c>
      <c r="AI74" s="2">
        <f t="shared" si="104"/>
        <v>780.30000000000007</v>
      </c>
      <c r="AJ74" s="2">
        <f t="shared" si="104"/>
        <v>780.30000000000007</v>
      </c>
      <c r="AK74" s="2">
        <f t="shared" si="104"/>
        <v>780.30000000000007</v>
      </c>
      <c r="AL74" s="2">
        <f t="shared" si="104"/>
        <v>780.30000000000007</v>
      </c>
      <c r="AM74" s="2">
        <f t="shared" si="104"/>
        <v>780.30000000000007</v>
      </c>
      <c r="AN74" s="2">
        <f t="shared" si="104"/>
        <v>780.30000000000007</v>
      </c>
      <c r="AO74" s="2">
        <f t="shared" si="104"/>
        <v>780.30000000000007</v>
      </c>
      <c r="AP74" s="71">
        <f>SUM(AG74:AO74)</f>
        <v>7022.7000000000007</v>
      </c>
    </row>
    <row r="75" spans="1:42" x14ac:dyDescent="0.2">
      <c r="A75" s="39" t="s">
        <v>203</v>
      </c>
      <c r="B75" s="2">
        <v>3600</v>
      </c>
      <c r="C75" s="39"/>
      <c r="F75" s="2"/>
      <c r="G75" s="2">
        <f t="shared" si="102"/>
        <v>300</v>
      </c>
      <c r="H75" s="2">
        <f t="shared" si="102"/>
        <v>300</v>
      </c>
      <c r="I75" s="2">
        <f t="shared" si="102"/>
        <v>300</v>
      </c>
      <c r="J75" s="2">
        <f t="shared" si="102"/>
        <v>300</v>
      </c>
      <c r="K75" s="2">
        <f t="shared" si="102"/>
        <v>300</v>
      </c>
      <c r="L75" s="2">
        <f t="shared" si="102"/>
        <v>300</v>
      </c>
      <c r="M75" s="2">
        <f t="shared" si="102"/>
        <v>300</v>
      </c>
      <c r="N75" s="2">
        <f t="shared" si="102"/>
        <v>300</v>
      </c>
      <c r="O75" s="2">
        <f t="shared" si="102"/>
        <v>300</v>
      </c>
      <c r="Q75" s="9">
        <f>SUM(D75:O75)</f>
        <v>2700</v>
      </c>
      <c r="S75" s="2">
        <f>O75*102%</f>
        <v>306</v>
      </c>
      <c r="T75" s="2">
        <f t="shared" ref="T75:AD75" si="108">S75</f>
        <v>306</v>
      </c>
      <c r="U75" s="2">
        <f t="shared" si="108"/>
        <v>306</v>
      </c>
      <c r="V75" s="2">
        <f t="shared" si="108"/>
        <v>306</v>
      </c>
      <c r="W75" s="2">
        <f t="shared" si="108"/>
        <v>306</v>
      </c>
      <c r="X75" s="2">
        <f t="shared" si="108"/>
        <v>306</v>
      </c>
      <c r="Y75" s="2">
        <f t="shared" si="108"/>
        <v>306</v>
      </c>
      <c r="Z75" s="2">
        <f t="shared" si="108"/>
        <v>306</v>
      </c>
      <c r="AA75" s="2">
        <f t="shared" si="108"/>
        <v>306</v>
      </c>
      <c r="AB75" s="2">
        <f t="shared" si="108"/>
        <v>306</v>
      </c>
      <c r="AC75" s="2">
        <f t="shared" si="108"/>
        <v>306</v>
      </c>
      <c r="AD75" s="2">
        <f t="shared" si="108"/>
        <v>306</v>
      </c>
      <c r="AE75" s="9">
        <f>SUM(S75:AD75)</f>
        <v>3672</v>
      </c>
      <c r="AG75" s="2">
        <f>AD75*102%</f>
        <v>312.12</v>
      </c>
      <c r="AH75" s="2">
        <f t="shared" si="104"/>
        <v>312.12</v>
      </c>
      <c r="AI75" s="2">
        <f t="shared" si="104"/>
        <v>312.12</v>
      </c>
      <c r="AJ75" s="2">
        <f t="shared" si="104"/>
        <v>312.12</v>
      </c>
      <c r="AK75" s="2">
        <f t="shared" si="104"/>
        <v>312.12</v>
      </c>
      <c r="AL75" s="2">
        <f t="shared" si="104"/>
        <v>312.12</v>
      </c>
      <c r="AM75" s="2">
        <f t="shared" si="104"/>
        <v>312.12</v>
      </c>
      <c r="AN75" s="2">
        <f t="shared" si="104"/>
        <v>312.12</v>
      </c>
      <c r="AO75" s="2">
        <f t="shared" si="104"/>
        <v>312.12</v>
      </c>
      <c r="AP75" s="71">
        <f>SUM(AG75:AO75)</f>
        <v>2809.0799999999995</v>
      </c>
    </row>
    <row r="76" spans="1:42" x14ac:dyDescent="0.2">
      <c r="A76" s="39" t="s">
        <v>3</v>
      </c>
      <c r="B76" s="2"/>
      <c r="C76" s="39" t="s">
        <v>389</v>
      </c>
      <c r="F76" s="2">
        <v>19000</v>
      </c>
      <c r="G76" s="2"/>
      <c r="H76" s="2"/>
      <c r="I76" s="2"/>
      <c r="J76" s="2"/>
      <c r="K76" s="2"/>
      <c r="L76" s="2"/>
      <c r="M76" s="2"/>
      <c r="N76" s="2"/>
      <c r="O76" s="2"/>
      <c r="Q76" s="9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9"/>
      <c r="AG76" s="2"/>
      <c r="AH76" s="2"/>
      <c r="AI76" s="2">
        <f>Finance!E42/12</f>
        <v>1650</v>
      </c>
      <c r="AJ76" s="2">
        <f t="shared" ref="AJ76:AO76" si="109">AI76</f>
        <v>1650</v>
      </c>
      <c r="AK76" s="2">
        <f t="shared" si="109"/>
        <v>1650</v>
      </c>
      <c r="AL76" s="2">
        <f t="shared" si="109"/>
        <v>1650</v>
      </c>
      <c r="AM76" s="2">
        <f t="shared" si="109"/>
        <v>1650</v>
      </c>
      <c r="AN76" s="2">
        <f t="shared" si="109"/>
        <v>1650</v>
      </c>
      <c r="AO76" s="2">
        <f t="shared" si="109"/>
        <v>1650</v>
      </c>
      <c r="AP76" s="71"/>
    </row>
    <row r="77" spans="1:42" ht="8" customHeight="1" x14ac:dyDescent="0.2">
      <c r="B77" s="2"/>
      <c r="AP77" s="70"/>
    </row>
    <row r="78" spans="1:42" x14ac:dyDescent="0.2">
      <c r="A78" s="3" t="s">
        <v>209</v>
      </c>
      <c r="B78" s="2"/>
      <c r="F78" s="9">
        <f>SUM(F71:F77)</f>
        <v>19000</v>
      </c>
      <c r="G78" s="9">
        <f t="shared" ref="G78:O78" si="110">SUM(G71:G77)</f>
        <v>2000</v>
      </c>
      <c r="H78" s="9">
        <f t="shared" si="110"/>
        <v>2000</v>
      </c>
      <c r="I78" s="9">
        <f t="shared" si="110"/>
        <v>2000</v>
      </c>
      <c r="J78" s="9">
        <f t="shared" si="110"/>
        <v>2000</v>
      </c>
      <c r="K78" s="9">
        <f t="shared" si="110"/>
        <v>2000</v>
      </c>
      <c r="L78" s="9">
        <f t="shared" si="110"/>
        <v>2000</v>
      </c>
      <c r="M78" s="9">
        <f t="shared" si="110"/>
        <v>2000</v>
      </c>
      <c r="N78" s="9">
        <f t="shared" si="110"/>
        <v>2000</v>
      </c>
      <c r="O78" s="9">
        <f t="shared" si="110"/>
        <v>2000</v>
      </c>
      <c r="Q78" s="31">
        <f>SUM(Q71:Q77)</f>
        <v>18000</v>
      </c>
      <c r="S78" s="9">
        <f t="shared" ref="S78:AD78" si="111">SUM(S71:S77)</f>
        <v>2040</v>
      </c>
      <c r="T78" s="9">
        <f t="shared" si="111"/>
        <v>2040</v>
      </c>
      <c r="U78" s="9">
        <f t="shared" si="111"/>
        <v>2040</v>
      </c>
      <c r="V78" s="9">
        <f t="shared" si="111"/>
        <v>2040</v>
      </c>
      <c r="W78" s="9">
        <f t="shared" si="111"/>
        <v>2040</v>
      </c>
      <c r="X78" s="9">
        <f t="shared" si="111"/>
        <v>2040</v>
      </c>
      <c r="Y78" s="9">
        <f t="shared" si="111"/>
        <v>2040</v>
      </c>
      <c r="Z78" s="9">
        <f t="shared" si="111"/>
        <v>2040</v>
      </c>
      <c r="AA78" s="9">
        <f t="shared" si="111"/>
        <v>2040</v>
      </c>
      <c r="AB78" s="9">
        <f t="shared" si="111"/>
        <v>2040</v>
      </c>
      <c r="AC78" s="9">
        <f t="shared" si="111"/>
        <v>2040</v>
      </c>
      <c r="AD78" s="9">
        <f t="shared" si="111"/>
        <v>2040</v>
      </c>
      <c r="AE78" s="9">
        <f>SUM(S78:AD78)</f>
        <v>24480</v>
      </c>
      <c r="AG78" s="9">
        <f t="shared" ref="AG78:AO78" si="112">SUM(AG71:AG77)</f>
        <v>2080.8000000000002</v>
      </c>
      <c r="AH78" s="9">
        <f t="shared" si="112"/>
        <v>2080.8000000000002</v>
      </c>
      <c r="AI78" s="9">
        <f t="shared" si="112"/>
        <v>3730.8</v>
      </c>
      <c r="AJ78" s="9">
        <f t="shared" si="112"/>
        <v>3730.8</v>
      </c>
      <c r="AK78" s="9">
        <f t="shared" si="112"/>
        <v>3730.8</v>
      </c>
      <c r="AL78" s="9">
        <f t="shared" si="112"/>
        <v>3730.8</v>
      </c>
      <c r="AM78" s="9">
        <f t="shared" si="112"/>
        <v>3730.8</v>
      </c>
      <c r="AN78" s="9">
        <f t="shared" si="112"/>
        <v>3730.8</v>
      </c>
      <c r="AO78" s="9">
        <f t="shared" si="112"/>
        <v>3730.8</v>
      </c>
      <c r="AP78" s="71">
        <f>SUM(AG78:AO78)</f>
        <v>30277.199999999997</v>
      </c>
    </row>
    <row r="79" spans="1:42" x14ac:dyDescent="0.2">
      <c r="A79" s="3"/>
      <c r="B79" s="2"/>
      <c r="F79" s="9"/>
      <c r="G79" s="9"/>
      <c r="H79" s="9"/>
      <c r="I79" s="9"/>
      <c r="J79" s="9"/>
      <c r="K79" s="9"/>
      <c r="L79" s="9"/>
      <c r="M79" s="9"/>
      <c r="N79" s="9"/>
      <c r="O79" s="9"/>
      <c r="Q79" s="77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G79" s="9"/>
      <c r="AH79" s="9"/>
      <c r="AI79" s="9"/>
      <c r="AJ79" s="9"/>
      <c r="AK79" s="9"/>
      <c r="AL79" s="9"/>
      <c r="AM79" s="9"/>
      <c r="AN79" s="9"/>
      <c r="AO79" s="9"/>
      <c r="AP79" s="71"/>
    </row>
    <row r="80" spans="1:42" x14ac:dyDescent="0.2">
      <c r="A80" s="101" t="s">
        <v>435</v>
      </c>
      <c r="B80" s="105"/>
      <c r="C80" s="106"/>
      <c r="D80" s="106"/>
      <c r="E80" s="106"/>
      <c r="F80" s="102">
        <f>F50+F60+F68+F78</f>
        <v>33600</v>
      </c>
      <c r="G80" s="102">
        <f>G50+G60+G68+G78</f>
        <v>34110.916666666672</v>
      </c>
      <c r="H80" s="102">
        <f t="shared" ref="H80:O80" si="113">H50+H60+H68+H78</f>
        <v>35915.916666666672</v>
      </c>
      <c r="I80" s="102">
        <f t="shared" si="113"/>
        <v>35915.916666666672</v>
      </c>
      <c r="J80" s="102">
        <f t="shared" si="113"/>
        <v>35915.916666666672</v>
      </c>
      <c r="K80" s="102">
        <f t="shared" si="113"/>
        <v>35915.916666666672</v>
      </c>
      <c r="L80" s="102">
        <f t="shared" si="113"/>
        <v>74915.916666666657</v>
      </c>
      <c r="M80" s="102">
        <f t="shared" si="113"/>
        <v>24915.916666666668</v>
      </c>
      <c r="N80" s="102">
        <f t="shared" si="113"/>
        <v>24915.916666666668</v>
      </c>
      <c r="O80" s="102">
        <f t="shared" si="113"/>
        <v>24915.916666666668</v>
      </c>
      <c r="P80" s="106"/>
      <c r="Q80" s="102">
        <f>SUM(F80:O80)</f>
        <v>361038.25000000006</v>
      </c>
      <c r="R80" s="106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  <c r="AF80" s="106"/>
      <c r="AG80" s="102"/>
      <c r="AH80" s="102"/>
      <c r="AI80" s="102"/>
      <c r="AJ80" s="102"/>
      <c r="AK80" s="102"/>
      <c r="AL80" s="102"/>
      <c r="AM80" s="102"/>
      <c r="AN80" s="102"/>
      <c r="AO80" s="102"/>
      <c r="AP80" s="103"/>
    </row>
    <row r="81" spans="1:42" x14ac:dyDescent="0.2">
      <c r="B81" s="2"/>
      <c r="AP81" s="70"/>
    </row>
    <row r="82" spans="1:42" s="44" customFormat="1" ht="17" thickBot="1" x14ac:dyDescent="0.25">
      <c r="A82" s="46" t="s">
        <v>211</v>
      </c>
      <c r="B82" s="46"/>
      <c r="C82" s="46"/>
      <c r="D82" s="46"/>
      <c r="E82" s="46"/>
      <c r="F82" s="46">
        <f>F41-F80</f>
        <v>-33600</v>
      </c>
      <c r="G82" s="46">
        <f t="shared" ref="G82:O82" si="114">G41-G60-G78-G68</f>
        <v>-10766.716666666656</v>
      </c>
      <c r="H82" s="46">
        <f t="shared" si="114"/>
        <v>111642.64333333333</v>
      </c>
      <c r="I82" s="46">
        <f t="shared" si="114"/>
        <v>11133.083333333332</v>
      </c>
      <c r="J82" s="46">
        <f t="shared" si="114"/>
        <v>-13711.396666666664</v>
      </c>
      <c r="K82" s="46">
        <f t="shared" si="114"/>
        <v>-19541.396666666671</v>
      </c>
      <c r="L82" s="46">
        <f t="shared" si="114"/>
        <v>-61276.916666666664</v>
      </c>
      <c r="M82" s="46">
        <f t="shared" si="114"/>
        <v>-34736.916666666672</v>
      </c>
      <c r="N82" s="46">
        <f t="shared" si="114"/>
        <v>-30456.916666666668</v>
      </c>
      <c r="O82" s="46">
        <f t="shared" si="114"/>
        <v>-24696.916666666668</v>
      </c>
      <c r="P82" s="46"/>
      <c r="Q82" s="46">
        <f>Q41-Q60-Q78-Q68-Q50</f>
        <v>-87011.449999999968</v>
      </c>
      <c r="S82" s="46">
        <f t="shared" ref="S82:AD82" si="115">S41-S60-S78-S68</f>
        <v>-14451.055000000008</v>
      </c>
      <c r="T82" s="46">
        <f t="shared" si="115"/>
        <v>15353.344999999987</v>
      </c>
      <c r="U82" s="46">
        <f t="shared" si="115"/>
        <v>11889.424999999988</v>
      </c>
      <c r="V82" s="46">
        <f t="shared" si="115"/>
        <v>49484.849000000002</v>
      </c>
      <c r="W82" s="46">
        <f t="shared" si="115"/>
        <v>130413.49619999999</v>
      </c>
      <c r="X82" s="46">
        <f t="shared" si="115"/>
        <v>23535.745000000014</v>
      </c>
      <c r="Y82" s="46">
        <f t="shared" si="115"/>
        <v>-3228.8246000000072</v>
      </c>
      <c r="Z82" s="46">
        <f t="shared" si="115"/>
        <v>-8995.4245999999912</v>
      </c>
      <c r="AA82" s="46">
        <f t="shared" si="115"/>
        <v>-61702.455000000002</v>
      </c>
      <c r="AB82" s="46">
        <f t="shared" si="115"/>
        <v>-37378.575000000004</v>
      </c>
      <c r="AC82" s="46">
        <f t="shared" si="115"/>
        <v>-33012.974999999999</v>
      </c>
      <c r="AD82" s="46">
        <f t="shared" si="115"/>
        <v>-27277.774999999994</v>
      </c>
      <c r="AE82" s="46">
        <f>SUM(S82:AD82)</f>
        <v>44629.775999999954</v>
      </c>
      <c r="AG82" s="46">
        <f t="shared" ref="AG82:AO82" si="116">AG41-AG60-AG78-AG68</f>
        <v>-14700.076100000006</v>
      </c>
      <c r="AH82" s="46">
        <f t="shared" si="116"/>
        <v>15700.411899999985</v>
      </c>
      <c r="AI82" s="46">
        <f t="shared" si="116"/>
        <v>10517.213499999976</v>
      </c>
      <c r="AJ82" s="46">
        <f t="shared" si="116"/>
        <v>47892.545980000024</v>
      </c>
      <c r="AK82" s="46">
        <f t="shared" si="116"/>
        <v>135398.36612399999</v>
      </c>
      <c r="AL82" s="46">
        <f t="shared" si="116"/>
        <v>22296.459899999994</v>
      </c>
      <c r="AM82" s="46">
        <f t="shared" si="116"/>
        <v>-5406.6010920000199</v>
      </c>
      <c r="AN82" s="46">
        <f t="shared" si="116"/>
        <v>-11108.533091999998</v>
      </c>
      <c r="AO82" s="46">
        <f t="shared" si="116"/>
        <v>-63786.50410000002</v>
      </c>
      <c r="AP82" s="73">
        <f>SUM(AG82:AO82)</f>
        <v>136803.28301999992</v>
      </c>
    </row>
    <row r="83" spans="1:42" ht="17" thickTop="1" x14ac:dyDescent="0.2">
      <c r="O83" s="2"/>
      <c r="AD83" s="26" t="s">
        <v>441</v>
      </c>
      <c r="AE83" s="44">
        <f>Q82+AE82</f>
        <v>-42381.674000000014</v>
      </c>
      <c r="AO83" s="26" t="s">
        <v>440</v>
      </c>
      <c r="AP83" s="75">
        <f>Q82+AE82+AP82</f>
        <v>94421.609019999902</v>
      </c>
    </row>
    <row r="84" spans="1:42" x14ac:dyDescent="0.2">
      <c r="A84" s="10" t="s">
        <v>243</v>
      </c>
      <c r="AP84" s="70"/>
    </row>
    <row r="85" spans="1:42" ht="17" thickBot="1" x14ac:dyDescent="0.25">
      <c r="A85" t="s">
        <v>244</v>
      </c>
      <c r="B85" s="2">
        <v>200000</v>
      </c>
      <c r="F85" s="54">
        <f>B85+F82</f>
        <v>166400</v>
      </c>
      <c r="G85" s="54">
        <f t="shared" ref="G85:O85" si="117">F85+G82</f>
        <v>155633.28333333335</v>
      </c>
      <c r="H85" s="54">
        <f t="shared" si="117"/>
        <v>267275.9266666667</v>
      </c>
      <c r="I85" s="54">
        <f t="shared" si="117"/>
        <v>278409.01</v>
      </c>
      <c r="J85" s="54">
        <f t="shared" si="117"/>
        <v>264697.61333333334</v>
      </c>
      <c r="K85" s="54">
        <f t="shared" si="117"/>
        <v>245156.21666666667</v>
      </c>
      <c r="L85" s="54">
        <f>K85+L82</f>
        <v>183879.30000000002</v>
      </c>
      <c r="M85" s="54">
        <f t="shared" si="117"/>
        <v>149142.38333333336</v>
      </c>
      <c r="N85" s="54">
        <f t="shared" si="117"/>
        <v>118685.46666666669</v>
      </c>
      <c r="O85" s="54">
        <f t="shared" si="117"/>
        <v>93988.550000000017</v>
      </c>
      <c r="S85" s="52">
        <f>O85+S82</f>
        <v>79537.49500000001</v>
      </c>
      <c r="T85" s="52">
        <f t="shared" ref="T85:AD85" si="118">S85+T82</f>
        <v>94890.84</v>
      </c>
      <c r="U85" s="52">
        <f t="shared" si="118"/>
        <v>106780.26499999998</v>
      </c>
      <c r="V85" s="52">
        <f t="shared" si="118"/>
        <v>156265.114</v>
      </c>
      <c r="W85" s="52">
        <f t="shared" si="118"/>
        <v>286678.6102</v>
      </c>
      <c r="X85" s="52">
        <f t="shared" si="118"/>
        <v>310214.35519999999</v>
      </c>
      <c r="Y85" s="52">
        <f t="shared" si="118"/>
        <v>306985.5306</v>
      </c>
      <c r="Z85" s="52">
        <f t="shared" si="118"/>
        <v>297990.10600000003</v>
      </c>
      <c r="AA85" s="52">
        <f t="shared" si="118"/>
        <v>236287.65100000001</v>
      </c>
      <c r="AB85" s="52">
        <f t="shared" si="118"/>
        <v>198909.076</v>
      </c>
      <c r="AC85" s="52">
        <f t="shared" si="118"/>
        <v>165896.101</v>
      </c>
      <c r="AD85" s="52">
        <f t="shared" si="118"/>
        <v>138618.326</v>
      </c>
      <c r="AG85" s="52">
        <f>AD85+AG82</f>
        <v>123918.2499</v>
      </c>
      <c r="AH85" s="52">
        <f>AG85+AH82</f>
        <v>139618.66179999997</v>
      </c>
      <c r="AI85" s="52">
        <f t="shared" ref="AI85:AO85" si="119">AH85+AI82</f>
        <v>150135.87529999996</v>
      </c>
      <c r="AJ85" s="52">
        <f t="shared" si="119"/>
        <v>198028.42127999998</v>
      </c>
      <c r="AK85" s="52">
        <f t="shared" si="119"/>
        <v>333426.78740399994</v>
      </c>
      <c r="AL85" s="52">
        <f>AK85+AL82</f>
        <v>355723.24730399996</v>
      </c>
      <c r="AM85" s="52">
        <f t="shared" si="119"/>
        <v>350316.64621199993</v>
      </c>
      <c r="AN85" s="52">
        <f t="shared" si="119"/>
        <v>339208.11311999994</v>
      </c>
      <c r="AO85" s="52">
        <f t="shared" si="119"/>
        <v>275421.60901999992</v>
      </c>
      <c r="AP85" s="70"/>
    </row>
    <row r="86" spans="1:42" ht="9" customHeight="1" thickTop="1" x14ac:dyDescent="0.2">
      <c r="B86" s="2"/>
      <c r="F86" s="55"/>
      <c r="G86" s="55"/>
      <c r="H86" s="55"/>
      <c r="I86" s="55"/>
      <c r="J86" s="55"/>
      <c r="K86" s="55"/>
      <c r="L86" s="55"/>
      <c r="M86" s="55"/>
      <c r="N86" s="55"/>
      <c r="O86" s="55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G86" s="52"/>
      <c r="AH86" s="52"/>
      <c r="AI86" s="52"/>
      <c r="AJ86" s="52"/>
      <c r="AK86" s="52"/>
      <c r="AL86" s="52"/>
      <c r="AM86" s="52"/>
      <c r="AN86" s="52"/>
      <c r="AO86" s="52"/>
      <c r="AP86" s="70"/>
    </row>
    <row r="87" spans="1:42" x14ac:dyDescent="0.2">
      <c r="A87" t="s">
        <v>437</v>
      </c>
      <c r="B87" s="2">
        <v>300000</v>
      </c>
      <c r="J87" s="2">
        <f>J85+B87</f>
        <v>564697.61333333328</v>
      </c>
      <c r="K87" s="2">
        <f>J87+K82</f>
        <v>545156.21666666656</v>
      </c>
      <c r="L87" s="2">
        <f>K87+L82</f>
        <v>483879.29999999987</v>
      </c>
      <c r="M87" s="2">
        <f>L87+M82</f>
        <v>449142.38333333319</v>
      </c>
      <c r="N87" s="2">
        <f>M87+N82</f>
        <v>418685.4666666665</v>
      </c>
      <c r="O87" s="2">
        <f>N87+O82</f>
        <v>393988.54999999981</v>
      </c>
      <c r="S87" s="52">
        <f>O87+S82</f>
        <v>379537.49499999982</v>
      </c>
      <c r="T87" s="52">
        <f t="shared" ref="T87:AD87" si="120">S87+T82</f>
        <v>394890.83999999979</v>
      </c>
      <c r="U87" s="52">
        <f t="shared" si="120"/>
        <v>406780.26499999978</v>
      </c>
      <c r="V87" s="52">
        <f t="shared" si="120"/>
        <v>456265.11399999977</v>
      </c>
      <c r="W87" s="52">
        <f t="shared" si="120"/>
        <v>586678.61019999976</v>
      </c>
      <c r="X87" s="52">
        <f t="shared" si="120"/>
        <v>610214.35519999976</v>
      </c>
      <c r="Y87" s="52">
        <f t="shared" si="120"/>
        <v>606985.53059999971</v>
      </c>
      <c r="Z87" s="52">
        <f t="shared" si="120"/>
        <v>597990.10599999968</v>
      </c>
      <c r="AA87" s="52">
        <f t="shared" si="120"/>
        <v>536287.65099999972</v>
      </c>
      <c r="AB87" s="52">
        <f t="shared" si="120"/>
        <v>498909.07599999971</v>
      </c>
      <c r="AC87" s="52">
        <f t="shared" si="120"/>
        <v>465896.10099999973</v>
      </c>
      <c r="AD87" s="52">
        <f t="shared" si="120"/>
        <v>438618.32599999977</v>
      </c>
      <c r="AG87" s="52">
        <f>AD87+AG82</f>
        <v>423918.24989999976</v>
      </c>
      <c r="AH87" s="52">
        <f t="shared" ref="AH87:AO87" si="121">AG87+AH82</f>
        <v>439618.66179999977</v>
      </c>
      <c r="AI87" s="52">
        <f t="shared" si="121"/>
        <v>450135.87529999972</v>
      </c>
      <c r="AJ87" s="52">
        <f t="shared" si="121"/>
        <v>498028.42127999978</v>
      </c>
      <c r="AK87" s="52">
        <f t="shared" si="121"/>
        <v>633426.78740399983</v>
      </c>
      <c r="AL87" s="52">
        <f t="shared" si="121"/>
        <v>655723.24730399984</v>
      </c>
      <c r="AM87" s="52">
        <f t="shared" si="121"/>
        <v>650316.64621199982</v>
      </c>
      <c r="AN87" s="52">
        <f t="shared" si="121"/>
        <v>639208.11311999988</v>
      </c>
      <c r="AO87" s="52">
        <f t="shared" si="121"/>
        <v>575421.60901999986</v>
      </c>
      <c r="AP87" s="74"/>
    </row>
    <row r="88" spans="1:42" x14ac:dyDescent="0.2">
      <c r="A88" t="s">
        <v>438</v>
      </c>
      <c r="B88" s="2">
        <v>250000</v>
      </c>
    </row>
    <row r="89" spans="1:42" x14ac:dyDescent="0.2">
      <c r="B89" s="2"/>
    </row>
    <row r="90" spans="1:42" x14ac:dyDescent="0.2">
      <c r="A90" s="3" t="s">
        <v>436</v>
      </c>
    </row>
    <row r="91" spans="1:42" x14ac:dyDescent="0.2">
      <c r="A91" t="s">
        <v>390</v>
      </c>
      <c r="B91" s="52">
        <f>Q82</f>
        <v>-87011.449999999968</v>
      </c>
    </row>
    <row r="92" spans="1:42" x14ac:dyDescent="0.2">
      <c r="A92" t="s">
        <v>393</v>
      </c>
      <c r="B92" s="52">
        <f>AE82</f>
        <v>44629.775999999954</v>
      </c>
    </row>
    <row r="93" spans="1:42" x14ac:dyDescent="0.2">
      <c r="A93" t="s">
        <v>394</v>
      </c>
      <c r="B93" s="52">
        <f>AP82</f>
        <v>136803.28301999992</v>
      </c>
    </row>
    <row r="94" spans="1:42" x14ac:dyDescent="0.2">
      <c r="A94" s="3" t="s">
        <v>395</v>
      </c>
      <c r="B94" s="44">
        <f>SUM(B91:B93)</f>
        <v>94421.609019999902</v>
      </c>
    </row>
    <row r="96" spans="1:42" x14ac:dyDescent="0.2">
      <c r="A96" t="s">
        <v>231</v>
      </c>
    </row>
    <row r="97" spans="1:1" x14ac:dyDescent="0.2">
      <c r="A97" t="s">
        <v>242</v>
      </c>
    </row>
  </sheetData>
  <mergeCells count="2">
    <mergeCell ref="M8:O8"/>
    <mergeCell ref="AB8:AD8"/>
  </mergeCells>
  <phoneticPr fontId="6" type="noConversion"/>
  <pageMargins left="0.70000000000000007" right="0.70000000000000007" top="0.75000000000000011" bottom="0.75000000000000011" header="0.30000000000000004" footer="0.30000000000000004"/>
  <pageSetup paperSize="9" scale="57" fitToWidth="3" fitToHeight="2" orientation="landscape" r:id="rId1"/>
  <headerFooter>
    <oddFooter>&amp;R&amp;K000000&amp;P</oddFooter>
  </headerFooter>
  <rowBreaks count="1" manualBreakCount="1">
    <brk id="41" max="16383" man="1"/>
  </rowBreaks>
  <colBreaks count="2" manualBreakCount="2">
    <brk id="17" max="1048575" man="1"/>
    <brk id="3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zoomScale="213" workbookViewId="0">
      <selection activeCell="A27" sqref="A27"/>
    </sheetView>
  </sheetViews>
  <sheetFormatPr baseColWidth="10" defaultColWidth="11" defaultRowHeight="16" x14ac:dyDescent="0.2"/>
  <cols>
    <col min="1" max="1" width="23.83203125" customWidth="1"/>
    <col min="2" max="2" width="7.1640625" customWidth="1"/>
  </cols>
  <sheetData>
    <row r="1" spans="1:6" x14ac:dyDescent="0.2">
      <c r="A1" s="9" t="s">
        <v>285</v>
      </c>
      <c r="B1" s="9"/>
      <c r="C1" s="21"/>
      <c r="D1" s="21"/>
      <c r="E1" s="21"/>
      <c r="F1" s="21"/>
    </row>
    <row r="2" spans="1:6" x14ac:dyDescent="0.2">
      <c r="A2" s="9"/>
      <c r="B2" s="9"/>
      <c r="C2" s="21"/>
      <c r="D2" s="21"/>
      <c r="E2" s="21"/>
      <c r="F2" s="21"/>
    </row>
    <row r="3" spans="1:6" x14ac:dyDescent="0.2">
      <c r="A3" s="11" t="s">
        <v>294</v>
      </c>
      <c r="B3" s="9"/>
      <c r="C3" s="21">
        <v>100000</v>
      </c>
      <c r="D3" s="21"/>
      <c r="E3" s="21"/>
      <c r="F3" s="21"/>
    </row>
    <row r="4" spans="1:6" x14ac:dyDescent="0.2">
      <c r="A4" s="2" t="s">
        <v>286</v>
      </c>
      <c r="B4" s="2"/>
      <c r="C4" s="2">
        <v>1000000</v>
      </c>
      <c r="E4" s="2"/>
      <c r="F4" s="2"/>
    </row>
    <row r="5" spans="1:6" x14ac:dyDescent="0.2">
      <c r="A5" s="2" t="s">
        <v>287</v>
      </c>
      <c r="B5" s="1"/>
      <c r="C5" s="2">
        <v>250000</v>
      </c>
      <c r="D5" s="2"/>
      <c r="E5" s="2"/>
      <c r="F5" s="2"/>
    </row>
    <row r="6" spans="1:6" x14ac:dyDescent="0.2">
      <c r="A6" s="2" t="s">
        <v>288</v>
      </c>
      <c r="B6" s="1">
        <v>0.12</v>
      </c>
      <c r="C6" s="2">
        <f>SUM(C4:C5)*B6</f>
        <v>150000</v>
      </c>
      <c r="D6" s="2"/>
      <c r="E6" s="2"/>
      <c r="F6" s="2"/>
    </row>
    <row r="7" spans="1:6" x14ac:dyDescent="0.2">
      <c r="A7" s="2" t="s">
        <v>104</v>
      </c>
      <c r="B7" s="2"/>
      <c r="C7" s="2">
        <v>40000</v>
      </c>
      <c r="D7" s="2"/>
      <c r="E7" s="2"/>
      <c r="F7" s="2"/>
    </row>
    <row r="8" spans="1:6" x14ac:dyDescent="0.2">
      <c r="A8" s="2" t="s">
        <v>289</v>
      </c>
      <c r="B8" s="2"/>
      <c r="C8" s="2">
        <v>150000</v>
      </c>
      <c r="D8" s="2"/>
      <c r="E8" s="2"/>
      <c r="F8" s="2"/>
    </row>
    <row r="9" spans="1:6" ht="7" customHeight="1" x14ac:dyDescent="0.2">
      <c r="A9" s="2"/>
      <c r="B9" s="2"/>
      <c r="C9" s="2"/>
      <c r="D9" s="2"/>
      <c r="E9" s="2"/>
      <c r="F9" s="2"/>
    </row>
    <row r="10" spans="1:6" x14ac:dyDescent="0.2">
      <c r="A10" s="2"/>
      <c r="B10" s="2"/>
      <c r="C10" s="9">
        <f>SUM(C3:C9)</f>
        <v>1690000</v>
      </c>
      <c r="D10" s="2"/>
      <c r="E10" s="2"/>
      <c r="F10" s="2"/>
    </row>
    <row r="11" spans="1:6" x14ac:dyDescent="0.2">
      <c r="A11" s="2"/>
      <c r="B11" s="2"/>
      <c r="C11" s="2"/>
      <c r="D11" s="2"/>
      <c r="E11" s="2"/>
      <c r="F11" s="2"/>
    </row>
    <row r="12" spans="1:6" x14ac:dyDescent="0.2">
      <c r="A12" s="2" t="s">
        <v>290</v>
      </c>
      <c r="B12" s="1">
        <v>0.1</v>
      </c>
      <c r="C12" s="2">
        <f>C10*B12</f>
        <v>169000</v>
      </c>
      <c r="D12" s="2"/>
      <c r="E12" s="2"/>
      <c r="F12" s="2"/>
    </row>
    <row r="13" spans="1:6" x14ac:dyDescent="0.2">
      <c r="A13" s="2"/>
      <c r="B13" s="1"/>
      <c r="C13" s="2"/>
      <c r="D13" s="2"/>
      <c r="E13" s="2"/>
      <c r="F13" s="2"/>
    </row>
    <row r="14" spans="1:6" x14ac:dyDescent="0.2">
      <c r="A14" s="9" t="s">
        <v>292</v>
      </c>
      <c r="B14" s="59"/>
      <c r="C14" s="9">
        <f>SUM(C10:C13)</f>
        <v>1859000</v>
      </c>
      <c r="D14" s="2"/>
      <c r="E14" s="2"/>
      <c r="F14" s="2"/>
    </row>
    <row r="15" spans="1:6" x14ac:dyDescent="0.2">
      <c r="A15" s="2"/>
      <c r="B15" s="1"/>
      <c r="C15" s="2"/>
      <c r="D15" s="2"/>
      <c r="E15" s="2"/>
      <c r="F15" s="2"/>
    </row>
    <row r="16" spans="1:6" x14ac:dyDescent="0.2">
      <c r="A16" s="2" t="s">
        <v>291</v>
      </c>
      <c r="B16" s="1">
        <v>0.08</v>
      </c>
      <c r="C16" s="2">
        <f>C14*B16</f>
        <v>148720</v>
      </c>
      <c r="D16" s="2"/>
      <c r="E16" s="2"/>
      <c r="F16" s="2"/>
    </row>
    <row r="17" spans="1:6" x14ac:dyDescent="0.2">
      <c r="A17" s="2"/>
      <c r="B17" s="2"/>
      <c r="C17" s="2"/>
      <c r="D17" s="2"/>
      <c r="E17" s="2"/>
      <c r="F17" s="2"/>
    </row>
    <row r="18" spans="1:6" ht="17" thickBot="1" x14ac:dyDescent="0.25">
      <c r="A18" s="60" t="s">
        <v>293</v>
      </c>
      <c r="B18" s="60"/>
      <c r="C18" s="60">
        <f>SUM(C14:C17)</f>
        <v>2007720</v>
      </c>
      <c r="D18" s="2"/>
      <c r="E18" s="2"/>
      <c r="F18" s="2"/>
    </row>
    <row r="19" spans="1:6" ht="17" thickTop="1" x14ac:dyDescent="0.2">
      <c r="A19" s="2"/>
      <c r="B19" s="2"/>
      <c r="C19" s="2"/>
      <c r="D19" s="2"/>
      <c r="E19" s="2"/>
      <c r="F19" s="2"/>
    </row>
    <row r="20" spans="1:6" x14ac:dyDescent="0.2">
      <c r="A20" s="2"/>
      <c r="B20" s="2"/>
      <c r="C20" s="2"/>
      <c r="D20" s="2"/>
      <c r="E20" s="2"/>
      <c r="F20" s="2"/>
    </row>
    <row r="21" spans="1:6" x14ac:dyDescent="0.2">
      <c r="A21" s="9"/>
      <c r="B21" s="9"/>
      <c r="C21" s="9"/>
      <c r="D21" s="9"/>
      <c r="E21" s="9"/>
      <c r="F21" s="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"/>
  <sheetViews>
    <sheetView topLeftCell="A53" zoomScale="229" workbookViewId="0">
      <selection activeCell="C68" sqref="C68"/>
    </sheetView>
  </sheetViews>
  <sheetFormatPr baseColWidth="10" defaultColWidth="11" defaultRowHeight="16" x14ac:dyDescent="0.2"/>
  <cols>
    <col min="1" max="1" width="32.33203125" bestFit="1" customWidth="1"/>
    <col min="2" max="2" width="8.6640625" customWidth="1"/>
    <col min="10" max="10" width="11.83203125" bestFit="1" customWidth="1"/>
  </cols>
  <sheetData>
    <row r="1" spans="1:10" x14ac:dyDescent="0.2">
      <c r="C1" s="20" t="s">
        <v>59</v>
      </c>
      <c r="D1" s="20" t="s">
        <v>60</v>
      </c>
      <c r="E1" s="20" t="s">
        <v>72</v>
      </c>
      <c r="F1" s="20" t="s">
        <v>73</v>
      </c>
      <c r="G1" s="20" t="s">
        <v>114</v>
      </c>
      <c r="H1" s="20" t="s">
        <v>74</v>
      </c>
      <c r="I1" s="20" t="s">
        <v>75</v>
      </c>
    </row>
    <row r="2" spans="1:10" x14ac:dyDescent="0.2">
      <c r="C2" s="19" t="s">
        <v>61</v>
      </c>
      <c r="D2" s="3" t="s">
        <v>71</v>
      </c>
      <c r="E2" s="19" t="s">
        <v>76</v>
      </c>
      <c r="F2" s="19" t="s">
        <v>77</v>
      </c>
      <c r="G2" s="19" t="s">
        <v>78</v>
      </c>
      <c r="H2" s="19" t="s">
        <v>79</v>
      </c>
      <c r="I2" s="19" t="s">
        <v>89</v>
      </c>
    </row>
    <row r="3" spans="1:10" s="2" customFormat="1" ht="7" customHeight="1" x14ac:dyDescent="0.2">
      <c r="C3" s="21"/>
    </row>
    <row r="4" spans="1:10" s="2" customFormat="1" x14ac:dyDescent="0.2">
      <c r="A4" s="18" t="s">
        <v>164</v>
      </c>
      <c r="B4" s="18"/>
      <c r="C4" s="61">
        <v>400000</v>
      </c>
      <c r="D4" s="61">
        <v>400000</v>
      </c>
      <c r="E4" s="61">
        <v>400000</v>
      </c>
      <c r="F4" s="6">
        <v>450000</v>
      </c>
      <c r="G4" s="6">
        <v>450000</v>
      </c>
      <c r="H4" s="6">
        <v>450000</v>
      </c>
      <c r="I4" s="6">
        <v>450000</v>
      </c>
    </row>
    <row r="5" spans="1:10" s="2" customFormat="1" x14ac:dyDescent="0.2">
      <c r="A5" s="18" t="s">
        <v>212</v>
      </c>
      <c r="B5" s="18"/>
      <c r="C5" s="62">
        <v>3.5</v>
      </c>
      <c r="D5" s="7">
        <f t="shared" ref="D5:I5" si="0">C5*$J5</f>
        <v>3.5700000000000003</v>
      </c>
      <c r="E5" s="7">
        <f t="shared" si="0"/>
        <v>3.6414000000000004</v>
      </c>
      <c r="F5" s="7">
        <f t="shared" si="0"/>
        <v>3.7142280000000003</v>
      </c>
      <c r="G5" s="7">
        <f t="shared" si="0"/>
        <v>3.7885125600000005</v>
      </c>
      <c r="H5" s="7">
        <f t="shared" si="0"/>
        <v>3.8642828112000007</v>
      </c>
      <c r="I5" s="7">
        <f t="shared" si="0"/>
        <v>3.941568467424001</v>
      </c>
      <c r="J5" s="1">
        <v>1.02</v>
      </c>
    </row>
    <row r="6" spans="1:10" s="2" customFormat="1" x14ac:dyDescent="0.2">
      <c r="C6" s="21"/>
    </row>
    <row r="7" spans="1:10" s="2" customFormat="1" x14ac:dyDescent="0.2">
      <c r="A7" s="24" t="s">
        <v>94</v>
      </c>
      <c r="B7" s="24"/>
    </row>
    <row r="8" spans="1:10" s="2" customFormat="1" x14ac:dyDescent="0.2"/>
    <row r="9" spans="1:10" s="2" customFormat="1" x14ac:dyDescent="0.2">
      <c r="A9" s="3" t="s">
        <v>167</v>
      </c>
      <c r="B9" s="9"/>
      <c r="C9" s="25"/>
      <c r="D9" s="25"/>
      <c r="E9" s="25"/>
      <c r="F9" s="25"/>
    </row>
    <row r="10" spans="1:10" s="2" customFormat="1" x14ac:dyDescent="0.2">
      <c r="A10" s="2" t="s">
        <v>304</v>
      </c>
      <c r="C10" s="2">
        <f>C4*C5</f>
        <v>1400000</v>
      </c>
      <c r="D10" s="2">
        <f t="shared" ref="D10:I10" si="1">D4*D5</f>
        <v>1428000</v>
      </c>
      <c r="E10" s="2">
        <f t="shared" si="1"/>
        <v>1456560.0000000002</v>
      </c>
      <c r="F10" s="2">
        <f t="shared" si="1"/>
        <v>1671402.6</v>
      </c>
      <c r="G10" s="2">
        <f t="shared" si="1"/>
        <v>1704830.6520000002</v>
      </c>
      <c r="H10" s="2">
        <f t="shared" si="1"/>
        <v>1738927.2650400004</v>
      </c>
      <c r="I10" s="2">
        <f t="shared" si="1"/>
        <v>1773705.8103408006</v>
      </c>
    </row>
    <row r="11" spans="1:10" s="2" customFormat="1" x14ac:dyDescent="0.2">
      <c r="A11" s="2" t="s">
        <v>248</v>
      </c>
      <c r="C11" s="2">
        <v>75000</v>
      </c>
      <c r="D11" s="2">
        <f>C11*$J11</f>
        <v>76500</v>
      </c>
      <c r="E11" s="2">
        <f t="shared" ref="E11:I11" si="2">D11*$J11</f>
        <v>78030</v>
      </c>
      <c r="F11" s="2">
        <f t="shared" si="2"/>
        <v>79590.600000000006</v>
      </c>
      <c r="G11" s="2">
        <f t="shared" si="2"/>
        <v>81182.412000000011</v>
      </c>
      <c r="H11" s="2">
        <f t="shared" si="2"/>
        <v>82806.060240000006</v>
      </c>
      <c r="I11" s="2">
        <f t="shared" si="2"/>
        <v>84462.181444800008</v>
      </c>
      <c r="J11" s="1">
        <v>1.02</v>
      </c>
    </row>
    <row r="12" spans="1:10" s="2" customFormat="1" x14ac:dyDescent="0.2">
      <c r="A12" s="2" t="s">
        <v>302</v>
      </c>
      <c r="C12" s="2">
        <v>300000</v>
      </c>
      <c r="D12" s="2">
        <f t="shared" ref="D12:I12" si="3">C12*$J12</f>
        <v>306000</v>
      </c>
      <c r="E12" s="2">
        <f t="shared" si="3"/>
        <v>312120</v>
      </c>
      <c r="F12" s="2">
        <f t="shared" si="3"/>
        <v>318362.40000000002</v>
      </c>
      <c r="G12" s="2">
        <f t="shared" si="3"/>
        <v>324729.64800000004</v>
      </c>
      <c r="H12" s="2">
        <f t="shared" si="3"/>
        <v>331224.24096000002</v>
      </c>
      <c r="I12" s="2">
        <f t="shared" si="3"/>
        <v>337848.72577920003</v>
      </c>
      <c r="J12" s="1">
        <v>1.02</v>
      </c>
    </row>
    <row r="13" spans="1:10" s="2" customFormat="1" x14ac:dyDescent="0.2">
      <c r="A13" s="2" t="s">
        <v>36</v>
      </c>
      <c r="C13" s="2">
        <v>80000</v>
      </c>
      <c r="D13" s="2">
        <f t="shared" ref="D13:I13" si="4">C13*$J13</f>
        <v>81600</v>
      </c>
      <c r="E13" s="2">
        <f t="shared" si="4"/>
        <v>83232</v>
      </c>
      <c r="F13" s="2">
        <f t="shared" si="4"/>
        <v>84896.639999999999</v>
      </c>
      <c r="G13" s="2">
        <f t="shared" si="4"/>
        <v>86594.572799999994</v>
      </c>
      <c r="H13" s="2">
        <f t="shared" si="4"/>
        <v>88326.464255999992</v>
      </c>
      <c r="I13" s="2">
        <f t="shared" si="4"/>
        <v>90092.993541119999</v>
      </c>
      <c r="J13" s="1">
        <v>1.02</v>
      </c>
    </row>
    <row r="14" spans="1:10" s="2" customFormat="1" x14ac:dyDescent="0.2">
      <c r="A14" t="s">
        <v>257</v>
      </c>
      <c r="C14" s="2">
        <v>12000</v>
      </c>
      <c r="D14" s="2">
        <f t="shared" ref="D14:I14" si="5">C14*$J14</f>
        <v>12240</v>
      </c>
      <c r="E14" s="2">
        <f t="shared" si="5"/>
        <v>12484.800000000001</v>
      </c>
      <c r="F14" s="2">
        <f t="shared" si="5"/>
        <v>12734.496000000001</v>
      </c>
      <c r="G14" s="2">
        <f t="shared" si="5"/>
        <v>12989.185920000002</v>
      </c>
      <c r="H14" s="2">
        <f t="shared" si="5"/>
        <v>13248.969638400002</v>
      </c>
      <c r="I14" s="2">
        <f t="shared" si="5"/>
        <v>13513.949031168002</v>
      </c>
      <c r="J14" s="1">
        <v>1.02</v>
      </c>
    </row>
    <row r="15" spans="1:10" s="2" customFormat="1" x14ac:dyDescent="0.2">
      <c r="A15" t="s">
        <v>258</v>
      </c>
      <c r="B15"/>
      <c r="C15" s="21" t="s">
        <v>261</v>
      </c>
    </row>
    <row r="16" spans="1:10" s="2" customFormat="1" ht="7" customHeight="1" x14ac:dyDescent="0.2"/>
    <row r="17" spans="1:10" s="9" customFormat="1" x14ac:dyDescent="0.2">
      <c r="A17" s="3" t="s">
        <v>186</v>
      </c>
      <c r="C17" s="9">
        <f>SUM(C10:C16)</f>
        <v>1867000</v>
      </c>
      <c r="D17" s="9">
        <f t="shared" ref="D17:I17" si="6">SUM(D10:D16)</f>
        <v>1904340</v>
      </c>
      <c r="E17" s="9">
        <f t="shared" si="6"/>
        <v>1942426.8000000003</v>
      </c>
      <c r="F17" s="9">
        <f t="shared" si="6"/>
        <v>2166986.736</v>
      </c>
      <c r="G17" s="9">
        <f t="shared" si="6"/>
        <v>2210326.4707200006</v>
      </c>
      <c r="H17" s="9">
        <f t="shared" si="6"/>
        <v>2254533.0001344001</v>
      </c>
      <c r="I17" s="9">
        <f t="shared" si="6"/>
        <v>2299623.660137089</v>
      </c>
    </row>
    <row r="18" spans="1:10" s="9" customFormat="1" x14ac:dyDescent="0.2">
      <c r="A18" s="3"/>
    </row>
    <row r="19" spans="1:10" s="2" customFormat="1" x14ac:dyDescent="0.2">
      <c r="A19" s="3" t="s">
        <v>183</v>
      </c>
      <c r="B19" s="9"/>
    </row>
    <row r="20" spans="1:10" s="2" customFormat="1" x14ac:dyDescent="0.2">
      <c r="A20" t="s">
        <v>249</v>
      </c>
      <c r="B20" s="1">
        <v>0.35</v>
      </c>
      <c r="C20" s="2">
        <f>C10*$B20</f>
        <v>489999.99999999994</v>
      </c>
      <c r="D20" s="2">
        <f t="shared" ref="D20:I20" si="7">D10*$B20</f>
        <v>499799.99999999994</v>
      </c>
      <c r="E20" s="2">
        <f t="shared" si="7"/>
        <v>509796.00000000006</v>
      </c>
      <c r="F20" s="2">
        <f t="shared" si="7"/>
        <v>584990.91</v>
      </c>
      <c r="G20" s="2">
        <f t="shared" si="7"/>
        <v>596690.72820000001</v>
      </c>
      <c r="H20" s="2">
        <f t="shared" si="7"/>
        <v>608624.54276400013</v>
      </c>
      <c r="I20" s="2">
        <f t="shared" si="7"/>
        <v>620797.03361928021</v>
      </c>
    </row>
    <row r="21" spans="1:10" s="2" customFormat="1" x14ac:dyDescent="0.2">
      <c r="A21" t="s">
        <v>184</v>
      </c>
      <c r="B21" s="1">
        <v>0.3</v>
      </c>
      <c r="C21" s="2">
        <f>C10*$B21</f>
        <v>420000</v>
      </c>
      <c r="D21" s="2">
        <f t="shared" ref="D21:I21" si="8">D10*$B21</f>
        <v>428400</v>
      </c>
      <c r="E21" s="2">
        <f t="shared" si="8"/>
        <v>436968.00000000006</v>
      </c>
      <c r="F21" s="2">
        <f t="shared" si="8"/>
        <v>501420.78</v>
      </c>
      <c r="G21" s="2">
        <f t="shared" si="8"/>
        <v>511449.19560000004</v>
      </c>
      <c r="H21" s="2">
        <f t="shared" si="8"/>
        <v>521678.17951200012</v>
      </c>
      <c r="I21" s="2">
        <f t="shared" si="8"/>
        <v>532111.74310224014</v>
      </c>
    </row>
    <row r="22" spans="1:10" s="2" customFormat="1" x14ac:dyDescent="0.2">
      <c r="A22" t="s">
        <v>246</v>
      </c>
      <c r="B22" s="1">
        <v>0.4</v>
      </c>
      <c r="C22" s="2">
        <f>C11*$B22</f>
        <v>30000</v>
      </c>
      <c r="D22" s="2">
        <f t="shared" ref="D22:I22" si="9">D11*$B22</f>
        <v>30600</v>
      </c>
      <c r="E22" s="2">
        <f t="shared" si="9"/>
        <v>31212</v>
      </c>
      <c r="F22" s="2">
        <f t="shared" si="9"/>
        <v>31836.240000000005</v>
      </c>
      <c r="G22" s="2">
        <f t="shared" si="9"/>
        <v>32472.964800000005</v>
      </c>
      <c r="H22" s="2">
        <f t="shared" si="9"/>
        <v>33122.424096000002</v>
      </c>
      <c r="I22" s="2">
        <f t="shared" si="9"/>
        <v>33784.872577920003</v>
      </c>
    </row>
    <row r="23" spans="1:10" s="2" customFormat="1" x14ac:dyDescent="0.2">
      <c r="A23" t="s">
        <v>305</v>
      </c>
      <c r="B23" s="1">
        <v>0.35</v>
      </c>
      <c r="C23" s="2">
        <f>C12*B23</f>
        <v>105000</v>
      </c>
      <c r="D23" s="2">
        <f t="shared" ref="D23:I25" si="10">C23*$J23</f>
        <v>107100</v>
      </c>
      <c r="E23" s="2">
        <f t="shared" si="10"/>
        <v>109242</v>
      </c>
      <c r="F23" s="2">
        <f t="shared" si="10"/>
        <v>111426.84</v>
      </c>
      <c r="G23" s="2">
        <f t="shared" si="10"/>
        <v>113655.3768</v>
      </c>
      <c r="H23" s="2">
        <f t="shared" si="10"/>
        <v>115928.48433599999</v>
      </c>
      <c r="I23" s="2">
        <f t="shared" si="10"/>
        <v>118247.05402272</v>
      </c>
      <c r="J23" s="1">
        <v>1.02</v>
      </c>
    </row>
    <row r="24" spans="1:10" x14ac:dyDescent="0.2">
      <c r="A24" s="39" t="s">
        <v>204</v>
      </c>
      <c r="B24" s="1">
        <v>0.02</v>
      </c>
      <c r="C24" s="2">
        <f>C17*B24</f>
        <v>37340</v>
      </c>
      <c r="D24" s="2">
        <f t="shared" si="10"/>
        <v>38086.800000000003</v>
      </c>
      <c r="E24" s="2">
        <f t="shared" si="10"/>
        <v>38848.536</v>
      </c>
      <c r="F24" s="2">
        <f t="shared" si="10"/>
        <v>39625.506719999998</v>
      </c>
      <c r="G24" s="2">
        <f t="shared" si="10"/>
        <v>40418.016854399997</v>
      </c>
      <c r="H24" s="2">
        <f t="shared" si="10"/>
        <v>41226.377191487998</v>
      </c>
      <c r="I24" s="2">
        <f t="shared" si="10"/>
        <v>42050.904735317759</v>
      </c>
      <c r="J24" s="1">
        <v>1.02</v>
      </c>
    </row>
    <row r="25" spans="1:10" s="2" customFormat="1" x14ac:dyDescent="0.2">
      <c r="A25" t="s">
        <v>255</v>
      </c>
      <c r="B25"/>
      <c r="C25" s="2">
        <v>20000</v>
      </c>
      <c r="D25" s="2">
        <f t="shared" si="10"/>
        <v>20400</v>
      </c>
      <c r="E25" s="2">
        <f t="shared" si="10"/>
        <v>20808</v>
      </c>
      <c r="F25" s="2">
        <f t="shared" si="10"/>
        <v>21224.16</v>
      </c>
      <c r="G25" s="2">
        <f t="shared" si="10"/>
        <v>21648.643199999999</v>
      </c>
      <c r="H25" s="2">
        <f t="shared" si="10"/>
        <v>22081.616063999998</v>
      </c>
      <c r="I25" s="2">
        <f t="shared" si="10"/>
        <v>22523.24838528</v>
      </c>
      <c r="J25" s="1">
        <v>1.02</v>
      </c>
    </row>
    <row r="26" spans="1:10" s="2" customFormat="1" ht="7" customHeight="1" x14ac:dyDescent="0.2">
      <c r="A26"/>
      <c r="B26"/>
      <c r="J26" s="1"/>
    </row>
    <row r="27" spans="1:10" s="2" customFormat="1" x14ac:dyDescent="0.2">
      <c r="A27" s="3" t="s">
        <v>187</v>
      </c>
      <c r="B27"/>
      <c r="C27" s="9">
        <f>SUM(C20:C26)</f>
        <v>1102340</v>
      </c>
      <c r="D27" s="9">
        <f t="shared" ref="D27:I27" si="11">SUM(D20:D26)</f>
        <v>1124386.8</v>
      </c>
      <c r="E27" s="9">
        <f t="shared" si="11"/>
        <v>1146874.5360000001</v>
      </c>
      <c r="F27" s="9">
        <f t="shared" si="11"/>
        <v>1290524.4367199999</v>
      </c>
      <c r="G27" s="9">
        <f t="shared" si="11"/>
        <v>1316334.9254544</v>
      </c>
      <c r="H27" s="9">
        <f t="shared" si="11"/>
        <v>1342661.623963488</v>
      </c>
      <c r="I27" s="9">
        <f t="shared" si="11"/>
        <v>1369514.8564427581</v>
      </c>
      <c r="J27" s="1"/>
    </row>
    <row r="28" spans="1:10" s="2" customFormat="1" x14ac:dyDescent="0.2">
      <c r="A28"/>
      <c r="B28"/>
      <c r="C28" s="9"/>
      <c r="D28" s="9"/>
      <c r="E28" s="9"/>
      <c r="F28" s="9"/>
      <c r="G28" s="9"/>
      <c r="H28" s="9"/>
      <c r="I28" s="9"/>
      <c r="J28" s="1"/>
    </row>
    <row r="29" spans="1:10" s="2" customFormat="1" ht="17" thickBot="1" x14ac:dyDescent="0.25">
      <c r="A29" s="45" t="s">
        <v>188</v>
      </c>
      <c r="B29" s="63"/>
      <c r="C29" s="41">
        <f>C17-C27</f>
        <v>764660</v>
      </c>
      <c r="D29" s="41">
        <f t="shared" ref="D29:I29" si="12">D17-D27</f>
        <v>779953.2</v>
      </c>
      <c r="E29" s="41">
        <f t="shared" si="12"/>
        <v>795552.2640000002</v>
      </c>
      <c r="F29" s="41">
        <f t="shared" si="12"/>
        <v>876462.29928000015</v>
      </c>
      <c r="G29" s="41">
        <f t="shared" si="12"/>
        <v>893991.54526560055</v>
      </c>
      <c r="H29" s="41">
        <f t="shared" si="12"/>
        <v>911871.37617091206</v>
      </c>
      <c r="I29" s="41">
        <f t="shared" si="12"/>
        <v>930108.80369433085</v>
      </c>
      <c r="J29" s="1"/>
    </row>
    <row r="30" spans="1:10" s="2" customFormat="1" ht="17" thickTop="1" x14ac:dyDescent="0.2">
      <c r="A30"/>
      <c r="B30"/>
      <c r="C30" s="1">
        <f>C29/C17</f>
        <v>0.40956614890198179</v>
      </c>
      <c r="D30" s="1">
        <f t="shared" ref="D30:I30" si="13">D29/D17</f>
        <v>0.40956614890198179</v>
      </c>
      <c r="E30" s="1">
        <f t="shared" si="13"/>
        <v>0.40956614890198184</v>
      </c>
      <c r="F30" s="1">
        <f t="shared" si="13"/>
        <v>0.40446131243878558</v>
      </c>
      <c r="G30" s="1">
        <f t="shared" si="13"/>
        <v>0.40446131243878564</v>
      </c>
      <c r="H30" s="1">
        <f t="shared" si="13"/>
        <v>0.40446131243878553</v>
      </c>
      <c r="I30" s="1">
        <f t="shared" si="13"/>
        <v>0.40446131243878558</v>
      </c>
      <c r="J30" s="1"/>
    </row>
    <row r="31" spans="1:10" s="2" customFormat="1" x14ac:dyDescent="0.2">
      <c r="A31"/>
      <c r="B31"/>
      <c r="C31" s="1"/>
      <c r="D31" s="1"/>
      <c r="E31" s="1"/>
      <c r="F31" s="1"/>
      <c r="G31" s="1"/>
      <c r="H31" s="1"/>
      <c r="I31" s="1"/>
      <c r="J31" s="1"/>
    </row>
    <row r="32" spans="1:10" s="2" customFormat="1" x14ac:dyDescent="0.2">
      <c r="A32" s="3" t="s">
        <v>198</v>
      </c>
      <c r="B32"/>
      <c r="J32" s="1"/>
    </row>
    <row r="33" spans="1:10" s="2" customFormat="1" x14ac:dyDescent="0.2">
      <c r="A33" s="27" t="s">
        <v>119</v>
      </c>
      <c r="C33" s="2">
        <v>50000</v>
      </c>
      <c r="D33" s="2">
        <f>C33*$J33</f>
        <v>51000</v>
      </c>
      <c r="E33" s="2">
        <f t="shared" ref="E33:I33" si="14">D33*$J33</f>
        <v>52020</v>
      </c>
      <c r="F33" s="2">
        <f t="shared" si="14"/>
        <v>53060.4</v>
      </c>
      <c r="G33" s="2">
        <f t="shared" si="14"/>
        <v>54121.608</v>
      </c>
      <c r="H33" s="2">
        <f t="shared" si="14"/>
        <v>55204.040160000004</v>
      </c>
      <c r="I33" s="2">
        <f t="shared" si="14"/>
        <v>56308.120963200003</v>
      </c>
      <c r="J33" s="1">
        <v>1.02</v>
      </c>
    </row>
    <row r="34" spans="1:10" s="2" customFormat="1" x14ac:dyDescent="0.2">
      <c r="A34" s="27" t="s">
        <v>337</v>
      </c>
      <c r="C34" s="2">
        <v>25000</v>
      </c>
      <c r="D34" s="2">
        <f t="shared" ref="D34:I34" si="15">C34*$J34</f>
        <v>25500</v>
      </c>
      <c r="E34" s="2">
        <f t="shared" si="15"/>
        <v>26010</v>
      </c>
      <c r="F34" s="2">
        <f t="shared" si="15"/>
        <v>26530.2</v>
      </c>
      <c r="G34" s="2">
        <f t="shared" si="15"/>
        <v>27060.804</v>
      </c>
      <c r="H34" s="2">
        <f t="shared" si="15"/>
        <v>27602.020080000002</v>
      </c>
      <c r="I34" s="2">
        <f t="shared" si="15"/>
        <v>28154.060481600001</v>
      </c>
      <c r="J34" s="1">
        <v>1.02</v>
      </c>
    </row>
    <row r="35" spans="1:10" s="2" customFormat="1" x14ac:dyDescent="0.2">
      <c r="A35" s="27" t="s">
        <v>310</v>
      </c>
      <c r="C35" s="2">
        <v>21000</v>
      </c>
      <c r="D35" s="2">
        <f t="shared" ref="D35:I35" si="16">C35*$J35</f>
        <v>21420</v>
      </c>
      <c r="E35" s="2">
        <f t="shared" si="16"/>
        <v>21848.400000000001</v>
      </c>
      <c r="F35" s="2">
        <f t="shared" si="16"/>
        <v>22285.368000000002</v>
      </c>
      <c r="G35" s="2">
        <f t="shared" si="16"/>
        <v>22731.075360000003</v>
      </c>
      <c r="H35" s="2">
        <f t="shared" si="16"/>
        <v>23185.696867200004</v>
      </c>
      <c r="I35" s="2">
        <f t="shared" si="16"/>
        <v>23649.410804544004</v>
      </c>
      <c r="J35" s="1">
        <v>1.02</v>
      </c>
    </row>
    <row r="36" spans="1:10" s="2" customFormat="1" x14ac:dyDescent="0.2">
      <c r="A36" s="4" t="s">
        <v>307</v>
      </c>
      <c r="C36" s="2">
        <v>25000</v>
      </c>
      <c r="D36" s="2">
        <f t="shared" ref="D36:I36" si="17">C36*$J36</f>
        <v>25500</v>
      </c>
      <c r="E36" s="2">
        <f t="shared" si="17"/>
        <v>26010</v>
      </c>
      <c r="F36" s="2">
        <f t="shared" si="17"/>
        <v>26530.2</v>
      </c>
      <c r="G36" s="2">
        <f t="shared" si="17"/>
        <v>27060.804</v>
      </c>
      <c r="H36" s="2">
        <f t="shared" si="17"/>
        <v>27602.020080000002</v>
      </c>
      <c r="I36" s="2">
        <f t="shared" si="17"/>
        <v>28154.060481600001</v>
      </c>
      <c r="J36" s="1">
        <v>1.02</v>
      </c>
    </row>
    <row r="37" spans="1:10" s="2" customFormat="1" x14ac:dyDescent="0.2">
      <c r="A37" t="s">
        <v>308</v>
      </c>
      <c r="C37" s="2">
        <f>25000+(3*19000)</f>
        <v>82000</v>
      </c>
      <c r="D37" s="2">
        <f t="shared" ref="D37:I37" si="18">C37*$J37</f>
        <v>83640</v>
      </c>
      <c r="E37" s="2">
        <f t="shared" si="18"/>
        <v>85312.8</v>
      </c>
      <c r="F37" s="2">
        <f t="shared" si="18"/>
        <v>87019.056000000011</v>
      </c>
      <c r="G37" s="2">
        <f t="shared" si="18"/>
        <v>88759.437120000017</v>
      </c>
      <c r="H37" s="2">
        <f t="shared" si="18"/>
        <v>90534.625862400018</v>
      </c>
      <c r="I37" s="2">
        <f t="shared" si="18"/>
        <v>92345.318379648015</v>
      </c>
      <c r="J37" s="1">
        <v>1.02</v>
      </c>
    </row>
    <row r="38" spans="1:10" s="2" customFormat="1" x14ac:dyDescent="0.2">
      <c r="A38" t="s">
        <v>125</v>
      </c>
      <c r="C38" s="2">
        <v>30000</v>
      </c>
      <c r="D38" s="2">
        <f t="shared" ref="D38:I38" si="19">C38*$J38</f>
        <v>30600</v>
      </c>
      <c r="E38" s="2">
        <f t="shared" si="19"/>
        <v>31212</v>
      </c>
      <c r="F38" s="2">
        <f t="shared" si="19"/>
        <v>31836.240000000002</v>
      </c>
      <c r="G38" s="2">
        <f t="shared" si="19"/>
        <v>32472.964800000002</v>
      </c>
      <c r="H38" s="2">
        <f t="shared" si="19"/>
        <v>33122.424096000002</v>
      </c>
      <c r="I38" s="2">
        <f t="shared" si="19"/>
        <v>33784.872577920003</v>
      </c>
      <c r="J38" s="1">
        <v>1.02</v>
      </c>
    </row>
    <row r="39" spans="1:10" s="2" customFormat="1" x14ac:dyDescent="0.2">
      <c r="A39" t="s">
        <v>306</v>
      </c>
      <c r="C39" s="2">
        <v>21000</v>
      </c>
      <c r="D39" s="2">
        <f t="shared" ref="D39:I39" si="20">C39*$J39</f>
        <v>21420</v>
      </c>
      <c r="E39" s="2">
        <f t="shared" si="20"/>
        <v>21848.400000000001</v>
      </c>
      <c r="F39" s="2">
        <f t="shared" si="20"/>
        <v>22285.368000000002</v>
      </c>
      <c r="G39" s="2">
        <f t="shared" si="20"/>
        <v>22731.075360000003</v>
      </c>
      <c r="H39" s="2">
        <f t="shared" si="20"/>
        <v>23185.696867200004</v>
      </c>
      <c r="I39" s="2">
        <f t="shared" si="20"/>
        <v>23649.410804544004</v>
      </c>
      <c r="J39" s="1">
        <v>1.02</v>
      </c>
    </row>
    <row r="40" spans="1:10" s="2" customFormat="1" x14ac:dyDescent="0.2">
      <c r="A40" t="s">
        <v>229</v>
      </c>
      <c r="B40" s="1">
        <v>0.14000000000000001</v>
      </c>
      <c r="C40" s="2">
        <f>SUM(C33:C39)*14%</f>
        <v>35560</v>
      </c>
      <c r="D40" s="2">
        <f>C40*$J40</f>
        <v>36271.199999999997</v>
      </c>
      <c r="E40" s="2">
        <f t="shared" ref="E40:I40" si="21">D40*$J40</f>
        <v>36996.623999999996</v>
      </c>
      <c r="F40" s="2">
        <f t="shared" si="21"/>
        <v>37736.556479999999</v>
      </c>
      <c r="G40" s="2">
        <f t="shared" si="21"/>
        <v>38491.287609599996</v>
      </c>
      <c r="H40" s="2">
        <f t="shared" si="21"/>
        <v>39261.113361791999</v>
      </c>
      <c r="I40" s="2">
        <f t="shared" si="21"/>
        <v>40046.335629027839</v>
      </c>
      <c r="J40" s="1">
        <v>1.02</v>
      </c>
    </row>
    <row r="41" spans="1:10" s="2" customFormat="1" ht="9" customHeight="1" x14ac:dyDescent="0.2">
      <c r="A41"/>
      <c r="B41"/>
      <c r="J41" s="1"/>
    </row>
    <row r="42" spans="1:10" s="2" customFormat="1" x14ac:dyDescent="0.2">
      <c r="A42" s="3" t="s">
        <v>197</v>
      </c>
      <c r="B42"/>
      <c r="C42" s="9">
        <f t="shared" ref="C42:I42" si="22">SUM(C33:C41)</f>
        <v>289560</v>
      </c>
      <c r="D42" s="9">
        <f t="shared" si="22"/>
        <v>295351.2</v>
      </c>
      <c r="E42" s="9">
        <f t="shared" si="22"/>
        <v>301258.22400000005</v>
      </c>
      <c r="F42" s="9">
        <f t="shared" si="22"/>
        <v>307283.38847999997</v>
      </c>
      <c r="G42" s="9">
        <f t="shared" si="22"/>
        <v>313429.05624960002</v>
      </c>
      <c r="H42" s="9">
        <f t="shared" si="22"/>
        <v>319697.63737459207</v>
      </c>
      <c r="I42" s="9">
        <f t="shared" si="22"/>
        <v>326091.59012208384</v>
      </c>
      <c r="J42" s="1"/>
    </row>
    <row r="43" spans="1:10" s="2" customFormat="1" x14ac:dyDescent="0.2">
      <c r="A43"/>
      <c r="B43"/>
      <c r="J43" s="1"/>
    </row>
    <row r="44" spans="1:10" s="2" customFormat="1" x14ac:dyDescent="0.2">
      <c r="A44" s="43" t="s">
        <v>206</v>
      </c>
      <c r="J44" s="1"/>
    </row>
    <row r="45" spans="1:10" s="2" customFormat="1" x14ac:dyDescent="0.2">
      <c r="A45" s="2" t="s">
        <v>0</v>
      </c>
      <c r="C45" s="2">
        <v>225000</v>
      </c>
      <c r="D45" s="2">
        <f>C45*J45</f>
        <v>229500</v>
      </c>
      <c r="E45" s="2">
        <f>D45*J45</f>
        <v>234090</v>
      </c>
      <c r="F45" s="2">
        <v>225000</v>
      </c>
      <c r="G45" s="2">
        <f>F45*$J45</f>
        <v>229500</v>
      </c>
      <c r="H45" s="2">
        <f t="shared" ref="H45:I45" si="23">G45*$J45</f>
        <v>234090</v>
      </c>
      <c r="I45" s="2">
        <f t="shared" si="23"/>
        <v>238771.80000000002</v>
      </c>
      <c r="J45" s="1">
        <v>1.02</v>
      </c>
    </row>
    <row r="46" spans="1:10" s="2" customFormat="1" x14ac:dyDescent="0.2">
      <c r="A46" s="2" t="s">
        <v>303</v>
      </c>
      <c r="C46" s="2">
        <v>30000</v>
      </c>
      <c r="D46" s="2">
        <f>C46*$J46</f>
        <v>30600</v>
      </c>
      <c r="E46" s="2">
        <f t="shared" ref="E46:I46" si="24">D46*$J46</f>
        <v>31212</v>
      </c>
      <c r="F46" s="2">
        <f t="shared" si="24"/>
        <v>31836.240000000002</v>
      </c>
      <c r="G46" s="2">
        <f t="shared" si="24"/>
        <v>32472.964800000002</v>
      </c>
      <c r="H46" s="2">
        <f t="shared" si="24"/>
        <v>33122.424096000002</v>
      </c>
      <c r="I46" s="2">
        <f t="shared" si="24"/>
        <v>33784.872577920003</v>
      </c>
      <c r="J46" s="1">
        <v>1.02</v>
      </c>
    </row>
    <row r="47" spans="1:10" s="2" customFormat="1" x14ac:dyDescent="0.2">
      <c r="A47" s="39" t="s">
        <v>365</v>
      </c>
      <c r="C47" s="2">
        <f>'Transition phase'!Q65</f>
        <v>2565.75</v>
      </c>
      <c r="D47" s="2">
        <f>C47*$J46</f>
        <v>2617.0650000000001</v>
      </c>
      <c r="E47" s="2">
        <f t="shared" ref="E47:I47" si="25">D47*$J46</f>
        <v>2669.4063000000001</v>
      </c>
      <c r="F47" s="2">
        <f t="shared" si="25"/>
        <v>2722.7944259999999</v>
      </c>
      <c r="G47" s="2">
        <f t="shared" si="25"/>
        <v>2777.2503145199998</v>
      </c>
      <c r="H47" s="2">
        <f t="shared" si="25"/>
        <v>2832.7953208104</v>
      </c>
      <c r="I47" s="2">
        <f t="shared" si="25"/>
        <v>2889.4512272266079</v>
      </c>
      <c r="J47" s="1">
        <v>1.02</v>
      </c>
    </row>
    <row r="48" spans="1:10" s="2" customFormat="1" x14ac:dyDescent="0.2">
      <c r="A48" s="39" t="s">
        <v>207</v>
      </c>
      <c r="C48" s="2">
        <f>'Transition phase'!AO66*12</f>
        <v>67626</v>
      </c>
      <c r="D48" s="2">
        <f>C48*$J48</f>
        <v>68978.52</v>
      </c>
      <c r="E48" s="2">
        <f t="shared" ref="E48:I48" si="26">D48*$J48</f>
        <v>70358.090400000001</v>
      </c>
      <c r="F48" s="2">
        <f t="shared" si="26"/>
        <v>71765.252208000005</v>
      </c>
      <c r="G48" s="2">
        <f t="shared" si="26"/>
        <v>73200.557252160012</v>
      </c>
      <c r="H48" s="2">
        <f t="shared" si="26"/>
        <v>74664.568397203213</v>
      </c>
      <c r="I48" s="2">
        <f t="shared" si="26"/>
        <v>76157.859765147281</v>
      </c>
      <c r="J48" s="1">
        <v>1.02</v>
      </c>
    </row>
    <row r="49" spans="1:10" s="2" customFormat="1" x14ac:dyDescent="0.2">
      <c r="A49" s="39" t="s">
        <v>208</v>
      </c>
      <c r="B49" s="64"/>
      <c r="C49" s="2">
        <f>Notes!E56*1.2</f>
        <v>97056</v>
      </c>
      <c r="D49" s="2">
        <f>C49*102%</f>
        <v>98997.119999999995</v>
      </c>
      <c r="E49" s="2">
        <f t="shared" ref="E49:I49" si="27">D49*102%</f>
        <v>100977.0624</v>
      </c>
      <c r="F49" s="2">
        <f t="shared" si="27"/>
        <v>102996.603648</v>
      </c>
      <c r="G49" s="2">
        <f t="shared" si="27"/>
        <v>105056.53572096</v>
      </c>
      <c r="H49" s="2">
        <f t="shared" si="27"/>
        <v>107157.6664353792</v>
      </c>
      <c r="I49" s="2">
        <f t="shared" si="27"/>
        <v>109300.81976408679</v>
      </c>
      <c r="J49" s="1">
        <v>1.02</v>
      </c>
    </row>
    <row r="50" spans="1:10" s="2" customFormat="1" ht="9" customHeight="1" x14ac:dyDescent="0.2"/>
    <row r="51" spans="1:10" x14ac:dyDescent="0.2">
      <c r="A51" s="3" t="s">
        <v>210</v>
      </c>
      <c r="C51" s="9">
        <f t="shared" ref="C51:I51" si="28">SUM(C45:C49)</f>
        <v>422247.75</v>
      </c>
      <c r="D51" s="9">
        <f t="shared" si="28"/>
        <v>430692.70500000002</v>
      </c>
      <c r="E51" s="9">
        <f t="shared" si="28"/>
        <v>439306.55909999995</v>
      </c>
      <c r="F51" s="9">
        <f t="shared" si="28"/>
        <v>434320.89028200001</v>
      </c>
      <c r="G51" s="9">
        <f t="shared" si="28"/>
        <v>443007.30808763998</v>
      </c>
      <c r="H51" s="9">
        <f t="shared" si="28"/>
        <v>451867.45424939285</v>
      </c>
      <c r="I51" s="9">
        <f t="shared" si="28"/>
        <v>460904.80333438067</v>
      </c>
    </row>
    <row r="52" spans="1:10" s="2" customFormat="1" ht="9" customHeight="1" x14ac:dyDescent="0.2">
      <c r="A52"/>
    </row>
    <row r="53" spans="1:10" s="9" customFormat="1" x14ac:dyDescent="0.2">
      <c r="A53" s="3" t="s">
        <v>199</v>
      </c>
    </row>
    <row r="54" spans="1:10" x14ac:dyDescent="0.2">
      <c r="A54" s="42" t="s">
        <v>200</v>
      </c>
      <c r="C54" s="2">
        <v>9000</v>
      </c>
      <c r="D54" s="2">
        <f>C54*$J54</f>
        <v>9180</v>
      </c>
      <c r="E54" s="2">
        <f t="shared" ref="E54:I54" si="29">D54*$J54</f>
        <v>9363.6</v>
      </c>
      <c r="F54" s="2">
        <f t="shared" si="29"/>
        <v>9550.8720000000012</v>
      </c>
      <c r="G54" s="2">
        <f t="shared" si="29"/>
        <v>9741.8894400000008</v>
      </c>
      <c r="H54" s="2">
        <f t="shared" si="29"/>
        <v>9936.7272288000004</v>
      </c>
      <c r="I54" s="2">
        <f t="shared" si="29"/>
        <v>10135.461773376001</v>
      </c>
      <c r="J54" s="1">
        <v>1.02</v>
      </c>
    </row>
    <row r="55" spans="1:10" x14ac:dyDescent="0.2">
      <c r="A55" s="39" t="s">
        <v>205</v>
      </c>
      <c r="C55" s="2">
        <v>2800</v>
      </c>
      <c r="D55" s="2">
        <f t="shared" ref="D55:I55" si="30">C55*$J55</f>
        <v>2856</v>
      </c>
      <c r="E55" s="2">
        <f t="shared" si="30"/>
        <v>2913.12</v>
      </c>
      <c r="F55" s="2">
        <f t="shared" si="30"/>
        <v>2971.3824</v>
      </c>
      <c r="G55" s="2">
        <f t="shared" si="30"/>
        <v>3030.8100479999998</v>
      </c>
      <c r="H55" s="2">
        <f t="shared" si="30"/>
        <v>3091.4262489600001</v>
      </c>
      <c r="I55" s="2">
        <f t="shared" si="30"/>
        <v>3153.2547739392003</v>
      </c>
      <c r="J55" s="1">
        <v>1.02</v>
      </c>
    </row>
    <row r="56" spans="1:10" x14ac:dyDescent="0.2">
      <c r="A56" s="39" t="s">
        <v>201</v>
      </c>
      <c r="C56" s="2">
        <f>260*12</f>
        <v>3120</v>
      </c>
      <c r="D56" s="2">
        <f t="shared" ref="D56:I56" si="31">C56*$J56</f>
        <v>3182.4</v>
      </c>
      <c r="E56" s="2">
        <f t="shared" si="31"/>
        <v>3246.0480000000002</v>
      </c>
      <c r="F56" s="2">
        <f t="shared" si="31"/>
        <v>3310.9689600000002</v>
      </c>
      <c r="G56" s="2">
        <f t="shared" si="31"/>
        <v>3377.1883392000004</v>
      </c>
      <c r="H56" s="2">
        <f t="shared" si="31"/>
        <v>3444.7321059840006</v>
      </c>
      <c r="I56" s="2">
        <f t="shared" si="31"/>
        <v>3513.6267481036807</v>
      </c>
      <c r="J56" s="1">
        <v>1.02</v>
      </c>
    </row>
    <row r="57" spans="1:10" x14ac:dyDescent="0.2">
      <c r="A57" s="42" t="s">
        <v>202</v>
      </c>
      <c r="C57" s="2">
        <v>2400</v>
      </c>
      <c r="D57" s="2">
        <f t="shared" ref="D57:I57" si="32">C57*$J57</f>
        <v>2448</v>
      </c>
      <c r="E57" s="2">
        <f t="shared" si="32"/>
        <v>2496.96</v>
      </c>
      <c r="F57" s="2">
        <f t="shared" si="32"/>
        <v>2546.8992000000003</v>
      </c>
      <c r="G57" s="2">
        <f t="shared" si="32"/>
        <v>2597.8371840000004</v>
      </c>
      <c r="H57" s="2">
        <f t="shared" si="32"/>
        <v>2649.7939276800007</v>
      </c>
      <c r="I57" s="2">
        <f t="shared" si="32"/>
        <v>2702.7898062336008</v>
      </c>
      <c r="J57" s="1">
        <v>1.02</v>
      </c>
    </row>
    <row r="58" spans="1:10" x14ac:dyDescent="0.2">
      <c r="A58" s="39" t="s">
        <v>203</v>
      </c>
      <c r="C58" s="2">
        <v>3600</v>
      </c>
      <c r="D58" s="2">
        <f t="shared" ref="D58:I58" si="33">C58*$J58</f>
        <v>3672</v>
      </c>
      <c r="E58" s="2">
        <f t="shared" si="33"/>
        <v>3745.44</v>
      </c>
      <c r="F58" s="2">
        <f t="shared" si="33"/>
        <v>3820.3488000000002</v>
      </c>
      <c r="G58" s="2">
        <f t="shared" si="33"/>
        <v>3896.7557760000004</v>
      </c>
      <c r="H58" s="2">
        <f t="shared" si="33"/>
        <v>3974.6908915200006</v>
      </c>
      <c r="I58" s="2">
        <f t="shared" si="33"/>
        <v>4054.1847093504007</v>
      </c>
      <c r="J58" s="1">
        <v>1.02</v>
      </c>
    </row>
    <row r="59" spans="1:10" ht="9" customHeight="1" x14ac:dyDescent="0.2"/>
    <row r="60" spans="1:10" x14ac:dyDescent="0.2">
      <c r="A60" s="3" t="s">
        <v>209</v>
      </c>
      <c r="C60" s="9">
        <f>SUM(C54:C59)</f>
        <v>20920</v>
      </c>
      <c r="D60" s="9">
        <f t="shared" ref="D60:I60" si="34">SUM(D54:D59)</f>
        <v>21338.400000000001</v>
      </c>
      <c r="E60" s="9">
        <f t="shared" si="34"/>
        <v>21765.168000000001</v>
      </c>
      <c r="F60" s="9">
        <f t="shared" si="34"/>
        <v>22200.471360000003</v>
      </c>
      <c r="G60" s="9">
        <f t="shared" si="34"/>
        <v>22644.480787200002</v>
      </c>
      <c r="H60" s="9">
        <f t="shared" si="34"/>
        <v>23097.370402944001</v>
      </c>
      <c r="I60" s="9">
        <f t="shared" si="34"/>
        <v>23559.317811002886</v>
      </c>
    </row>
    <row r="62" spans="1:10" s="44" customFormat="1" ht="17" thickBot="1" x14ac:dyDescent="0.25">
      <c r="A62" s="46" t="s">
        <v>211</v>
      </c>
      <c r="B62" s="46"/>
      <c r="C62" s="46">
        <f t="shared" ref="C62:I62" si="35">C29-C42-C51-C60</f>
        <v>31932.25</v>
      </c>
      <c r="D62" s="46">
        <f t="shared" si="35"/>
        <v>32570.894999999924</v>
      </c>
      <c r="E62" s="46">
        <f t="shared" si="35"/>
        <v>33222.312900000194</v>
      </c>
      <c r="F62" s="46">
        <f t="shared" si="35"/>
        <v>112657.54915800018</v>
      </c>
      <c r="G62" s="46">
        <f t="shared" si="35"/>
        <v>114910.70014116055</v>
      </c>
      <c r="H62" s="46">
        <f t="shared" si="35"/>
        <v>117208.9141439832</v>
      </c>
      <c r="I62" s="46">
        <f t="shared" si="35"/>
        <v>119553.0924268634</v>
      </c>
      <c r="J62" s="46"/>
    </row>
    <row r="63" spans="1:10" ht="17" thickTop="1" x14ac:dyDescent="0.2">
      <c r="A63" s="65"/>
      <c r="C63" s="8">
        <f t="shared" ref="C63:I63" si="36">C62/C17</f>
        <v>1.7103508302088913E-2</v>
      </c>
      <c r="D63" s="8">
        <f t="shared" si="36"/>
        <v>1.7103508302088871E-2</v>
      </c>
      <c r="E63" s="8">
        <f t="shared" si="36"/>
        <v>1.710350830208901E-2</v>
      </c>
      <c r="F63" s="8">
        <f t="shared" si="36"/>
        <v>5.1988112011221922E-2</v>
      </c>
      <c r="G63" s="8">
        <f t="shared" si="36"/>
        <v>5.1988112011222068E-2</v>
      </c>
      <c r="H63" s="8">
        <f t="shared" si="36"/>
        <v>5.1988112011221832E-2</v>
      </c>
      <c r="I63" s="8">
        <f t="shared" si="36"/>
        <v>5.1988112011222047E-2</v>
      </c>
    </row>
    <row r="64" spans="1:10" x14ac:dyDescent="0.2">
      <c r="A64" s="18" t="s">
        <v>364</v>
      </c>
      <c r="C64" s="1"/>
      <c r="D64" s="1"/>
      <c r="E64" s="1"/>
      <c r="F64" s="1"/>
      <c r="G64" s="1"/>
      <c r="H64" s="1"/>
      <c r="I64" s="1"/>
    </row>
    <row r="65" spans="1:10" x14ac:dyDescent="0.2">
      <c r="A65" s="18"/>
      <c r="C65" s="1"/>
      <c r="D65" s="1"/>
      <c r="E65" s="1"/>
      <c r="F65" s="1"/>
      <c r="G65" s="1"/>
      <c r="H65" s="1"/>
      <c r="I65" s="1"/>
    </row>
    <row r="66" spans="1:10" s="2" customFormat="1" x14ac:dyDescent="0.2">
      <c r="A66" s="24" t="s">
        <v>298</v>
      </c>
      <c r="B66" s="24"/>
    </row>
    <row r="67" spans="1:10" s="2" customFormat="1" x14ac:dyDescent="0.2">
      <c r="A67" s="9"/>
      <c r="B67" s="9"/>
    </row>
    <row r="68" spans="1:10" s="2" customFormat="1" x14ac:dyDescent="0.2">
      <c r="A68" s="9" t="s">
        <v>80</v>
      </c>
      <c r="B68" s="9"/>
    </row>
    <row r="69" spans="1:10" s="2" customFormat="1" x14ac:dyDescent="0.2">
      <c r="A69" t="s">
        <v>29</v>
      </c>
      <c r="B69"/>
      <c r="C69" s="2">
        <f>C45</f>
        <v>225000</v>
      </c>
      <c r="D69" s="2">
        <f>C69*102%</f>
        <v>229500</v>
      </c>
      <c r="E69" s="2">
        <f>D69*102%</f>
        <v>234090</v>
      </c>
      <c r="F69" s="2">
        <f>F45</f>
        <v>225000</v>
      </c>
      <c r="G69" s="2">
        <f t="shared" ref="G69:I69" si="37">F69*102%</f>
        <v>229500</v>
      </c>
      <c r="H69" s="2">
        <f t="shared" si="37"/>
        <v>234090</v>
      </c>
      <c r="I69" s="2">
        <f t="shared" si="37"/>
        <v>238771.80000000002</v>
      </c>
    </row>
    <row r="70" spans="1:10" s="2" customFormat="1" x14ac:dyDescent="0.2">
      <c r="A70" t="s">
        <v>31</v>
      </c>
      <c r="B70"/>
      <c r="C70" s="2">
        <f>3.5*12*1000</f>
        <v>42000</v>
      </c>
      <c r="D70" s="2">
        <f>C70*$J70</f>
        <v>46200.000000000007</v>
      </c>
      <c r="E70" s="2">
        <f t="shared" ref="E70:I70" si="38">D70*$J70</f>
        <v>50820.000000000015</v>
      </c>
      <c r="F70" s="2">
        <f t="shared" si="38"/>
        <v>55902.000000000022</v>
      </c>
      <c r="G70" s="2">
        <f t="shared" si="38"/>
        <v>61492.200000000026</v>
      </c>
      <c r="H70" s="2">
        <f t="shared" si="38"/>
        <v>67641.420000000027</v>
      </c>
      <c r="I70" s="2">
        <f t="shared" si="38"/>
        <v>74405.562000000034</v>
      </c>
      <c r="J70" s="1">
        <v>1.1000000000000001</v>
      </c>
    </row>
    <row r="71" spans="1:10" s="2" customFormat="1" ht="7" customHeight="1" x14ac:dyDescent="0.2">
      <c r="A71"/>
      <c r="B71"/>
    </row>
    <row r="72" spans="1:10" s="9" customFormat="1" x14ac:dyDescent="0.2">
      <c r="A72" s="3" t="s">
        <v>300</v>
      </c>
      <c r="B72" s="3"/>
      <c r="C72" s="9">
        <f t="shared" ref="C72:I72" si="39">SUM(C69:C71)</f>
        <v>267000</v>
      </c>
      <c r="D72" s="9">
        <f t="shared" si="39"/>
        <v>275700</v>
      </c>
      <c r="E72" s="9">
        <f t="shared" si="39"/>
        <v>284910</v>
      </c>
      <c r="F72" s="9">
        <f t="shared" si="39"/>
        <v>280902</v>
      </c>
      <c r="G72" s="9">
        <f t="shared" si="39"/>
        <v>290992.2</v>
      </c>
      <c r="H72" s="9">
        <f t="shared" si="39"/>
        <v>301731.42000000004</v>
      </c>
      <c r="I72" s="9">
        <f t="shared" si="39"/>
        <v>313177.36200000008</v>
      </c>
    </row>
    <row r="73" spans="1:10" s="2" customFormat="1" x14ac:dyDescent="0.2"/>
    <row r="74" spans="1:10" s="2" customFormat="1" x14ac:dyDescent="0.2">
      <c r="A74" s="9" t="s">
        <v>81</v>
      </c>
      <c r="B74" s="9"/>
    </row>
    <row r="75" spans="1:10" s="2" customFormat="1" x14ac:dyDescent="0.2">
      <c r="A75" t="s">
        <v>338</v>
      </c>
      <c r="B75"/>
      <c r="C75" s="2">
        <v>20000</v>
      </c>
      <c r="D75" s="2">
        <f>C75*102%</f>
        <v>20400</v>
      </c>
      <c r="E75" s="2">
        <f t="shared" ref="E75:I78" si="40">D75*102%</f>
        <v>20808</v>
      </c>
      <c r="F75" s="2">
        <f t="shared" si="40"/>
        <v>21224.16</v>
      </c>
      <c r="G75" s="2">
        <f t="shared" si="40"/>
        <v>21648.643199999999</v>
      </c>
      <c r="H75" s="2">
        <f t="shared" si="40"/>
        <v>22081.616063999998</v>
      </c>
      <c r="I75" s="2">
        <f t="shared" si="40"/>
        <v>22523.24838528</v>
      </c>
    </row>
    <row r="76" spans="1:10" s="2" customFormat="1" x14ac:dyDescent="0.2">
      <c r="A76" t="s">
        <v>26</v>
      </c>
      <c r="B76"/>
      <c r="C76" s="2">
        <v>50000</v>
      </c>
      <c r="D76" s="2">
        <f>C76*102%</f>
        <v>51000</v>
      </c>
      <c r="E76" s="2">
        <f t="shared" si="40"/>
        <v>52020</v>
      </c>
      <c r="F76" s="2">
        <f t="shared" si="40"/>
        <v>53060.4</v>
      </c>
      <c r="G76" s="2">
        <f t="shared" si="40"/>
        <v>54121.608</v>
      </c>
      <c r="H76" s="2">
        <f t="shared" si="40"/>
        <v>55204.040160000004</v>
      </c>
      <c r="I76" s="2">
        <f t="shared" si="40"/>
        <v>56308.120963200003</v>
      </c>
    </row>
    <row r="77" spans="1:10" s="2" customFormat="1" x14ac:dyDescent="0.2">
      <c r="A77" t="s">
        <v>27</v>
      </c>
      <c r="B77"/>
      <c r="C77" s="2">
        <f>'Transition phase'!Q55+'Transition phase'!Q56</f>
        <v>55500</v>
      </c>
      <c r="D77" s="2">
        <f>C77*102%</f>
        <v>56610</v>
      </c>
      <c r="E77" s="2">
        <f t="shared" si="40"/>
        <v>57742.200000000004</v>
      </c>
      <c r="F77" s="2">
        <f t="shared" si="40"/>
        <v>58897.044000000009</v>
      </c>
      <c r="G77" s="2">
        <f t="shared" si="40"/>
        <v>60074.984880000011</v>
      </c>
      <c r="H77" s="2">
        <f t="shared" si="40"/>
        <v>61276.484577600015</v>
      </c>
      <c r="I77" s="2">
        <f t="shared" si="40"/>
        <v>62502.014269152016</v>
      </c>
    </row>
    <row r="78" spans="1:10" s="2" customFormat="1" x14ac:dyDescent="0.2">
      <c r="A78" t="s">
        <v>28</v>
      </c>
      <c r="B78"/>
      <c r="C78" s="2">
        <v>75000</v>
      </c>
      <c r="D78" s="2">
        <f>C78*102%</f>
        <v>76500</v>
      </c>
      <c r="E78" s="2">
        <f t="shared" si="40"/>
        <v>78030</v>
      </c>
      <c r="F78" s="2">
        <f t="shared" si="40"/>
        <v>79590.600000000006</v>
      </c>
      <c r="G78" s="2">
        <f t="shared" si="40"/>
        <v>81182.412000000011</v>
      </c>
      <c r="H78" s="2">
        <f t="shared" si="40"/>
        <v>82806.060240000006</v>
      </c>
      <c r="I78" s="2">
        <f t="shared" si="40"/>
        <v>84462.181444800008</v>
      </c>
    </row>
    <row r="79" spans="1:10" x14ac:dyDescent="0.2">
      <c r="A79" s="42" t="s">
        <v>202</v>
      </c>
      <c r="C79" s="2">
        <v>2400</v>
      </c>
      <c r="D79" s="2">
        <f t="shared" ref="D79" si="41">C79*$J79</f>
        <v>2448</v>
      </c>
      <c r="E79" s="2">
        <f t="shared" ref="E79" si="42">D79*$J79</f>
        <v>2496.96</v>
      </c>
      <c r="F79" s="2">
        <f t="shared" ref="F79" si="43">E79*$J79</f>
        <v>2546.8992000000003</v>
      </c>
      <c r="G79" s="2">
        <f t="shared" ref="G79" si="44">F79*$J79</f>
        <v>2597.8371840000004</v>
      </c>
      <c r="H79" s="2">
        <f t="shared" ref="H79" si="45">G79*$J79</f>
        <v>2649.7939276800007</v>
      </c>
      <c r="I79" s="2">
        <f t="shared" ref="I79" si="46">H79*$J79</f>
        <v>2702.7898062336008</v>
      </c>
      <c r="J79" s="1">
        <v>1.02</v>
      </c>
    </row>
    <row r="80" spans="1:10" s="2" customFormat="1" x14ac:dyDescent="0.2">
      <c r="A80" t="s">
        <v>3</v>
      </c>
      <c r="B80"/>
    </row>
    <row r="81" spans="1:9" s="2" customFormat="1" x14ac:dyDescent="0.2">
      <c r="A81" s="67" t="s">
        <v>349</v>
      </c>
      <c r="B81"/>
      <c r="C81" s="2">
        <f>Finance!E30</f>
        <v>7500</v>
      </c>
      <c r="D81" s="2">
        <f>C81</f>
        <v>7500</v>
      </c>
      <c r="E81" s="2">
        <f t="shared" ref="E81:E82" si="47">D81</f>
        <v>7500</v>
      </c>
      <c r="F81" s="2">
        <f t="shared" ref="F81:F82" si="48">E81</f>
        <v>7500</v>
      </c>
      <c r="G81" s="2">
        <f t="shared" ref="G81:G82" si="49">F81</f>
        <v>7500</v>
      </c>
      <c r="H81" s="2">
        <f t="shared" ref="H81:H82" si="50">G81</f>
        <v>7500</v>
      </c>
      <c r="I81" s="2">
        <f t="shared" ref="I81:I82" si="51">H81</f>
        <v>7500</v>
      </c>
    </row>
    <row r="82" spans="1:9" s="2" customFormat="1" x14ac:dyDescent="0.2">
      <c r="A82" s="67" t="s">
        <v>347</v>
      </c>
      <c r="B82"/>
      <c r="C82" s="2">
        <f>Finance!E33+Finance!E34</f>
        <v>21200</v>
      </c>
      <c r="D82" s="2">
        <f>C82</f>
        <v>21200</v>
      </c>
      <c r="E82" s="2">
        <f t="shared" si="47"/>
        <v>21200</v>
      </c>
      <c r="F82" s="2">
        <f t="shared" si="48"/>
        <v>21200</v>
      </c>
      <c r="G82" s="2">
        <f t="shared" si="49"/>
        <v>21200</v>
      </c>
      <c r="H82" s="2">
        <f t="shared" si="50"/>
        <v>21200</v>
      </c>
      <c r="I82" s="2">
        <f t="shared" si="51"/>
        <v>21200</v>
      </c>
    </row>
    <row r="83" spans="1:9" s="2" customFormat="1" x14ac:dyDescent="0.2">
      <c r="A83" s="67" t="s">
        <v>348</v>
      </c>
      <c r="B83"/>
      <c r="F83" s="2">
        <f>Finance!E35</f>
        <v>5600</v>
      </c>
      <c r="G83" s="2">
        <f>F83</f>
        <v>5600</v>
      </c>
      <c r="H83" s="2">
        <f>G83</f>
        <v>5600</v>
      </c>
      <c r="I83" s="2">
        <f>H83</f>
        <v>5600</v>
      </c>
    </row>
    <row r="84" spans="1:9" s="2" customFormat="1" x14ac:dyDescent="0.2">
      <c r="A84" s="67" t="s">
        <v>350</v>
      </c>
      <c r="B84"/>
      <c r="C84" s="2">
        <f>Finance!E42</f>
        <v>19800</v>
      </c>
      <c r="D84" s="2">
        <f>C84</f>
        <v>19800</v>
      </c>
      <c r="E84" s="2">
        <f t="shared" ref="E84:I84" si="52">D84</f>
        <v>19800</v>
      </c>
      <c r="F84" s="2">
        <f t="shared" si="52"/>
        <v>19800</v>
      </c>
      <c r="G84" s="2">
        <f t="shared" si="52"/>
        <v>19800</v>
      </c>
      <c r="H84" s="2">
        <f t="shared" si="52"/>
        <v>19800</v>
      </c>
      <c r="I84" s="2">
        <f t="shared" si="52"/>
        <v>19800</v>
      </c>
    </row>
    <row r="85" spans="1:9" s="2" customFormat="1" ht="7" customHeight="1" x14ac:dyDescent="0.2"/>
    <row r="86" spans="1:9" s="9" customFormat="1" x14ac:dyDescent="0.2">
      <c r="A86" s="9" t="s">
        <v>444</v>
      </c>
      <c r="C86" s="9">
        <f t="shared" ref="C86:I86" si="53">SUM(C75:C85)</f>
        <v>251400</v>
      </c>
      <c r="D86" s="9">
        <f t="shared" si="53"/>
        <v>255458</v>
      </c>
      <c r="E86" s="9">
        <f t="shared" si="53"/>
        <v>259597.16</v>
      </c>
      <c r="F86" s="9">
        <f t="shared" si="53"/>
        <v>269419.10320000001</v>
      </c>
      <c r="G86" s="9">
        <f t="shared" si="53"/>
        <v>273725.48526400002</v>
      </c>
      <c r="H86" s="9">
        <f t="shared" si="53"/>
        <v>278117.99496928003</v>
      </c>
      <c r="I86" s="9">
        <f t="shared" si="53"/>
        <v>282598.35486866563</v>
      </c>
    </row>
    <row r="87" spans="1:9" s="2" customFormat="1" x14ac:dyDescent="0.2"/>
    <row r="88" spans="1:9" s="44" customFormat="1" ht="17" thickBot="1" x14ac:dyDescent="0.25">
      <c r="A88" s="46" t="s">
        <v>211</v>
      </c>
      <c r="B88" s="46"/>
      <c r="C88" s="46">
        <f t="shared" ref="C88:I88" si="54">C72-C86</f>
        <v>15600</v>
      </c>
      <c r="D88" s="46">
        <f t="shared" si="54"/>
        <v>20242</v>
      </c>
      <c r="E88" s="46">
        <f t="shared" si="54"/>
        <v>25312.839999999997</v>
      </c>
      <c r="F88" s="46">
        <f t="shared" si="54"/>
        <v>11482.896799999988</v>
      </c>
      <c r="G88" s="46">
        <f t="shared" si="54"/>
        <v>17266.714735999994</v>
      </c>
      <c r="H88" s="46">
        <f t="shared" si="54"/>
        <v>23613.425030720013</v>
      </c>
      <c r="I88" s="46">
        <f t="shared" si="54"/>
        <v>30579.007131334452</v>
      </c>
    </row>
    <row r="89" spans="1:9" ht="17" thickTop="1" x14ac:dyDescent="0.2"/>
  </sheetData>
  <phoneticPr fontId="6" type="noConversion"/>
  <pageMargins left="0.70000000000000007" right="0.70000000000000007" top="0.75000000000000011" bottom="0.75000000000000011" header="0.30000000000000004" footer="0.30000000000000004"/>
  <pageSetup paperSize="9" scale="90" fitToHeight="2" orientation="landscape" horizontalDpi="0" verticalDpi="0"/>
  <rowBreaks count="2" manualBreakCount="2">
    <brk id="31" max="16383" man="1"/>
    <brk id="6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opLeftCell="A38" zoomScale="214" workbookViewId="0">
      <selection activeCell="B28" sqref="B28"/>
    </sheetView>
  </sheetViews>
  <sheetFormatPr baseColWidth="10" defaultColWidth="11" defaultRowHeight="16" x14ac:dyDescent="0.2"/>
  <cols>
    <col min="1" max="1" width="32.33203125" bestFit="1" customWidth="1"/>
    <col min="3" max="3" width="12.6640625" customWidth="1"/>
    <col min="4" max="4" width="13" customWidth="1"/>
    <col min="5" max="5" width="11.83203125" customWidth="1"/>
  </cols>
  <sheetData>
    <row r="1" spans="1:10" x14ac:dyDescent="0.2">
      <c r="A1" s="10" t="s">
        <v>311</v>
      </c>
    </row>
    <row r="3" spans="1:10" x14ac:dyDescent="0.2">
      <c r="A3" s="3" t="s">
        <v>327</v>
      </c>
      <c r="B3" s="26" t="s">
        <v>312</v>
      </c>
      <c r="C3" s="26" t="s">
        <v>315</v>
      </c>
      <c r="D3" s="26" t="s">
        <v>316</v>
      </c>
      <c r="E3" s="26" t="s">
        <v>323</v>
      </c>
    </row>
    <row r="4" spans="1:10" x14ac:dyDescent="0.2">
      <c r="A4" t="s">
        <v>313</v>
      </c>
      <c r="B4" s="2">
        <v>200000</v>
      </c>
      <c r="C4" s="2"/>
      <c r="D4" s="2"/>
      <c r="E4" s="2"/>
      <c r="F4" s="2"/>
      <c r="G4" s="2"/>
      <c r="H4" s="2"/>
      <c r="I4" s="2"/>
      <c r="J4" s="2"/>
    </row>
    <row r="5" spans="1:10" x14ac:dyDescent="0.2">
      <c r="A5" t="s">
        <v>314</v>
      </c>
      <c r="B5" s="2">
        <v>300000</v>
      </c>
      <c r="C5" s="2">
        <f>-B5</f>
        <v>-300000</v>
      </c>
      <c r="D5" s="2"/>
      <c r="E5" s="2"/>
      <c r="F5" s="2"/>
      <c r="G5" s="2"/>
      <c r="H5" s="2"/>
      <c r="I5" s="2"/>
      <c r="J5" s="2"/>
    </row>
    <row r="6" spans="1:10" x14ac:dyDescent="0.2">
      <c r="A6" t="s">
        <v>318</v>
      </c>
      <c r="B6" s="115" t="s">
        <v>326</v>
      </c>
      <c r="C6" s="116"/>
      <c r="D6" s="116"/>
      <c r="E6" s="117"/>
      <c r="F6" s="2"/>
      <c r="G6" s="2"/>
      <c r="H6" s="2"/>
      <c r="I6" s="2"/>
      <c r="J6" s="2"/>
    </row>
    <row r="7" spans="1:10" x14ac:dyDescent="0.2">
      <c r="A7" t="s">
        <v>322</v>
      </c>
      <c r="B7" s="2"/>
      <c r="C7" s="2">
        <v>300000</v>
      </c>
      <c r="D7" s="2"/>
      <c r="E7" s="2"/>
      <c r="F7" s="2"/>
      <c r="G7" s="2"/>
      <c r="H7" s="2"/>
      <c r="I7" s="2"/>
      <c r="J7" s="2"/>
    </row>
    <row r="8" spans="1:10" x14ac:dyDescent="0.2">
      <c r="B8" s="2"/>
      <c r="C8" s="2"/>
      <c r="D8" s="2"/>
      <c r="E8" s="2"/>
      <c r="F8" s="2"/>
      <c r="G8" s="2"/>
      <c r="H8" s="2"/>
      <c r="I8" s="2"/>
      <c r="J8" s="2"/>
    </row>
    <row r="9" spans="1:10" x14ac:dyDescent="0.2">
      <c r="A9" s="3" t="s">
        <v>328</v>
      </c>
      <c r="B9" s="2"/>
      <c r="C9" s="2"/>
      <c r="D9" s="2"/>
      <c r="E9" s="2"/>
      <c r="F9" s="2"/>
      <c r="G9" s="2"/>
      <c r="H9" s="2"/>
      <c r="I9" s="2"/>
      <c r="J9" s="2"/>
    </row>
    <row r="10" spans="1:10" x14ac:dyDescent="0.2">
      <c r="A10" t="s">
        <v>309</v>
      </c>
      <c r="B10" s="2"/>
      <c r="C10" s="2" t="s">
        <v>341</v>
      </c>
      <c r="D10" s="2">
        <v>400000</v>
      </c>
      <c r="E10" s="2"/>
      <c r="F10" s="2"/>
      <c r="G10" s="2"/>
      <c r="H10" s="2"/>
      <c r="I10" s="2"/>
      <c r="J10" s="2"/>
    </row>
    <row r="11" spans="1:10" x14ac:dyDescent="0.2">
      <c r="A11" t="s">
        <v>317</v>
      </c>
      <c r="B11" s="2"/>
      <c r="C11" s="2" t="s">
        <v>341</v>
      </c>
      <c r="D11" s="2">
        <v>100000</v>
      </c>
      <c r="E11" s="2"/>
      <c r="F11" s="2"/>
      <c r="G11" s="2"/>
      <c r="H11" s="2"/>
      <c r="I11" s="2"/>
      <c r="J11" s="2"/>
    </row>
    <row r="12" spans="1:10" x14ac:dyDescent="0.2">
      <c r="A12" t="s">
        <v>276</v>
      </c>
      <c r="B12" s="2"/>
      <c r="C12" s="2" t="s">
        <v>342</v>
      </c>
      <c r="D12" s="2">
        <v>250000</v>
      </c>
      <c r="E12" s="2"/>
      <c r="F12" s="2"/>
      <c r="G12" s="2"/>
      <c r="H12" s="2"/>
      <c r="I12" s="2"/>
      <c r="J12" s="2"/>
    </row>
    <row r="13" spans="1:10" x14ac:dyDescent="0.2">
      <c r="A13" t="s">
        <v>319</v>
      </c>
      <c r="B13" s="2"/>
      <c r="C13" s="2" t="s">
        <v>342</v>
      </c>
      <c r="D13" s="2">
        <v>250000</v>
      </c>
      <c r="E13" s="2"/>
      <c r="F13" s="2"/>
      <c r="G13" s="2"/>
      <c r="H13" s="2"/>
      <c r="I13" s="2"/>
      <c r="J13" s="2"/>
    </row>
    <row r="14" spans="1:10" x14ac:dyDescent="0.2">
      <c r="A14" t="s">
        <v>332</v>
      </c>
      <c r="B14" s="2"/>
      <c r="C14" s="2" t="s">
        <v>342</v>
      </c>
      <c r="D14" s="2">
        <v>250000</v>
      </c>
      <c r="E14" s="2"/>
      <c r="F14" s="2"/>
      <c r="G14" s="2"/>
      <c r="H14" s="2"/>
      <c r="I14" s="2"/>
      <c r="J14" s="2"/>
    </row>
    <row r="15" spans="1:10" x14ac:dyDescent="0.2">
      <c r="A15" t="s">
        <v>351</v>
      </c>
      <c r="B15" s="2"/>
      <c r="C15" s="2" t="s">
        <v>342</v>
      </c>
      <c r="D15" s="2">
        <v>250000</v>
      </c>
      <c r="E15" s="2"/>
      <c r="F15" s="2"/>
      <c r="G15" s="2"/>
      <c r="H15" s="2"/>
      <c r="I15" s="2"/>
      <c r="J15" s="2"/>
    </row>
    <row r="16" spans="1:10" x14ac:dyDescent="0.2">
      <c r="A16" t="s">
        <v>320</v>
      </c>
      <c r="B16" s="2"/>
      <c r="C16" s="2" t="s">
        <v>443</v>
      </c>
      <c r="D16" s="2">
        <v>500000</v>
      </c>
      <c r="E16" s="2"/>
      <c r="F16" s="2"/>
      <c r="G16" s="2"/>
      <c r="H16" s="2"/>
      <c r="I16" s="2"/>
      <c r="J16" s="2"/>
    </row>
    <row r="17" spans="1:10" x14ac:dyDescent="0.2">
      <c r="B17" s="2"/>
      <c r="C17" s="2"/>
      <c r="D17" s="2"/>
      <c r="E17" s="2"/>
      <c r="F17" s="2"/>
      <c r="G17" s="2"/>
      <c r="H17" s="2"/>
      <c r="I17" s="2"/>
      <c r="J17" s="2"/>
    </row>
    <row r="18" spans="1:10" x14ac:dyDescent="0.2">
      <c r="A18" s="3" t="s">
        <v>329</v>
      </c>
      <c r="B18" s="2"/>
      <c r="C18" s="2"/>
      <c r="D18" s="2"/>
      <c r="E18" s="2"/>
      <c r="F18" s="2"/>
      <c r="G18" s="2"/>
      <c r="H18" s="2"/>
      <c r="I18" s="2"/>
      <c r="J18" s="2"/>
    </row>
    <row r="19" spans="1:10" x14ac:dyDescent="0.2">
      <c r="A19" t="s">
        <v>275</v>
      </c>
      <c r="B19" s="2"/>
      <c r="C19" s="2"/>
      <c r="D19" s="2"/>
      <c r="E19" s="21" t="s">
        <v>261</v>
      </c>
      <c r="F19" s="2"/>
      <c r="G19" s="2"/>
      <c r="H19" s="2"/>
      <c r="I19" s="2"/>
      <c r="J19" s="2"/>
    </row>
    <row r="20" spans="1:10" x14ac:dyDescent="0.2">
      <c r="A20" t="s">
        <v>324</v>
      </c>
      <c r="B20" s="2"/>
      <c r="C20" s="2"/>
      <c r="D20" s="2"/>
      <c r="E20" s="21" t="s">
        <v>261</v>
      </c>
      <c r="F20" s="2"/>
      <c r="G20" s="2"/>
      <c r="H20" s="2"/>
      <c r="I20" s="2"/>
      <c r="J20" s="2"/>
    </row>
    <row r="21" spans="1:10" x14ac:dyDescent="0.2">
      <c r="A21" t="s">
        <v>277</v>
      </c>
      <c r="B21" s="2"/>
      <c r="C21" s="2"/>
      <c r="D21" s="2"/>
      <c r="E21" s="21" t="s">
        <v>261</v>
      </c>
      <c r="F21" s="2"/>
      <c r="G21" s="2"/>
      <c r="H21" s="2"/>
      <c r="I21" s="2"/>
      <c r="J21" s="2"/>
    </row>
    <row r="22" spans="1:10" x14ac:dyDescent="0.2">
      <c r="A22" t="s">
        <v>325</v>
      </c>
      <c r="B22" s="2"/>
      <c r="C22" s="2"/>
      <c r="D22" s="2"/>
      <c r="E22" s="21" t="s">
        <v>261</v>
      </c>
      <c r="F22" s="2"/>
      <c r="G22" s="2"/>
      <c r="H22" s="2"/>
      <c r="I22" s="2"/>
      <c r="J22" s="2"/>
    </row>
    <row r="23" spans="1:10" x14ac:dyDescent="0.2">
      <c r="B23" s="2"/>
      <c r="C23" s="2"/>
      <c r="D23" s="2"/>
      <c r="E23" s="2"/>
      <c r="F23" s="2"/>
      <c r="G23" s="2"/>
      <c r="H23" s="2"/>
      <c r="I23" s="2"/>
      <c r="J23" s="2"/>
    </row>
    <row r="24" spans="1:10" x14ac:dyDescent="0.2">
      <c r="B24" s="9">
        <f>SUM(B4:B18)</f>
        <v>500000</v>
      </c>
      <c r="C24" s="9">
        <f>SUM(C4:C18)</f>
        <v>0</v>
      </c>
      <c r="D24" s="9">
        <f>SUM(D4:D18)</f>
        <v>2000000</v>
      </c>
      <c r="E24" s="9"/>
      <c r="F24" s="9"/>
      <c r="G24" s="9"/>
      <c r="H24" s="9"/>
      <c r="I24" s="2"/>
      <c r="J24" s="2"/>
    </row>
    <row r="25" spans="1:10" x14ac:dyDescent="0.2">
      <c r="B25" s="114" t="s">
        <v>442</v>
      </c>
      <c r="C25" s="114"/>
      <c r="D25" s="21" t="s">
        <v>321</v>
      </c>
      <c r="E25" s="2"/>
      <c r="F25" s="2"/>
      <c r="G25" s="2"/>
      <c r="H25" s="2"/>
      <c r="I25" s="2"/>
      <c r="J25" s="2"/>
    </row>
    <row r="26" spans="1:10" x14ac:dyDescent="0.2">
      <c r="B26" s="2"/>
      <c r="C26" s="2"/>
      <c r="D26" s="2"/>
      <c r="E26" s="2"/>
      <c r="F26" s="2"/>
      <c r="G26" s="2"/>
      <c r="H26" s="2"/>
      <c r="I26" s="2"/>
      <c r="J26" s="2"/>
    </row>
    <row r="28" spans="1:10" x14ac:dyDescent="0.2">
      <c r="A28" s="10" t="s">
        <v>330</v>
      </c>
      <c r="C28" s="9"/>
    </row>
    <row r="29" spans="1:10" x14ac:dyDescent="0.2">
      <c r="A29" s="3"/>
      <c r="C29" s="9"/>
    </row>
    <row r="30" spans="1:10" x14ac:dyDescent="0.2">
      <c r="A30" s="4" t="s">
        <v>343</v>
      </c>
      <c r="B30" s="2">
        <v>300000</v>
      </c>
      <c r="C30" s="21" t="s">
        <v>345</v>
      </c>
      <c r="D30" s="2" t="s">
        <v>344</v>
      </c>
      <c r="E30" s="9">
        <f>B30/40</f>
        <v>7500</v>
      </c>
    </row>
    <row r="31" spans="1:10" x14ac:dyDescent="0.2">
      <c r="A31" s="2" t="s">
        <v>346</v>
      </c>
      <c r="C31" s="9"/>
    </row>
    <row r="32" spans="1:10" x14ac:dyDescent="0.2">
      <c r="A32" s="3"/>
      <c r="C32" s="9"/>
    </row>
    <row r="33" spans="1:5" x14ac:dyDescent="0.2">
      <c r="A33" t="s">
        <v>68</v>
      </c>
      <c r="B33" s="2">
        <f>D10+D11</f>
        <v>500000</v>
      </c>
      <c r="C33" s="1">
        <v>1</v>
      </c>
      <c r="D33" s="1">
        <v>0.02</v>
      </c>
      <c r="E33" s="2">
        <f>B33*D33+(B33*2%)</f>
        <v>20000</v>
      </c>
    </row>
    <row r="34" spans="1:5" x14ac:dyDescent="0.2">
      <c r="A34" t="s">
        <v>331</v>
      </c>
      <c r="B34" s="2">
        <v>600000</v>
      </c>
      <c r="C34" s="1">
        <v>0.1</v>
      </c>
      <c r="D34" s="1">
        <v>0.02</v>
      </c>
      <c r="E34" s="2">
        <f>B34*C34*D34</f>
        <v>1200</v>
      </c>
    </row>
    <row r="35" spans="1:5" x14ac:dyDescent="0.2">
      <c r="A35" t="s">
        <v>362</v>
      </c>
      <c r="B35" t="s">
        <v>106</v>
      </c>
      <c r="C35" s="2"/>
      <c r="D35" s="1">
        <v>0.01</v>
      </c>
      <c r="E35" s="2">
        <f>(B33+(B34*C34))*D35</f>
        <v>5600</v>
      </c>
    </row>
    <row r="36" spans="1:5" ht="8" customHeight="1" x14ac:dyDescent="0.2">
      <c r="C36" s="2"/>
      <c r="D36" s="1"/>
      <c r="E36" s="2"/>
    </row>
    <row r="37" spans="1:5" x14ac:dyDescent="0.2">
      <c r="C37" s="2"/>
      <c r="D37" s="26" t="s">
        <v>363</v>
      </c>
      <c r="E37" s="9">
        <f>SUM(E33:E36)</f>
        <v>26800</v>
      </c>
    </row>
    <row r="39" spans="1:5" x14ac:dyDescent="0.2">
      <c r="A39" t="s">
        <v>320</v>
      </c>
      <c r="B39" s="2">
        <f>D16</f>
        <v>500000</v>
      </c>
      <c r="C39" t="s">
        <v>333</v>
      </c>
      <c r="D39" s="8">
        <v>2.5000000000000001E-2</v>
      </c>
      <c r="E39" s="2">
        <f>B39*D39</f>
        <v>12500</v>
      </c>
    </row>
    <row r="40" spans="1:5" x14ac:dyDescent="0.2">
      <c r="B40" s="2"/>
      <c r="C40" t="s">
        <v>334</v>
      </c>
      <c r="D40" s="66" t="s">
        <v>336</v>
      </c>
      <c r="E40" s="2">
        <f>(1650*12)-E39</f>
        <v>7300</v>
      </c>
    </row>
    <row r="41" spans="1:5" ht="7" customHeight="1" x14ac:dyDescent="0.2"/>
    <row r="42" spans="1:5" x14ac:dyDescent="0.2">
      <c r="E42" s="9">
        <f>SUM(E39:E41)</f>
        <v>19800</v>
      </c>
    </row>
    <row r="43" spans="1:5" ht="10" customHeight="1" x14ac:dyDescent="0.2"/>
    <row r="44" spans="1:5" x14ac:dyDescent="0.2">
      <c r="A44" s="3" t="s">
        <v>335</v>
      </c>
      <c r="B44" s="3"/>
      <c r="C44" s="3"/>
      <c r="D44" s="3"/>
      <c r="E44" s="9">
        <f>E30+E37+E42</f>
        <v>54100</v>
      </c>
    </row>
    <row r="49" spans="1:3" x14ac:dyDescent="0.2">
      <c r="A49" t="s">
        <v>352</v>
      </c>
    </row>
    <row r="50" spans="1:3" x14ac:dyDescent="0.2">
      <c r="A50" t="s">
        <v>361</v>
      </c>
    </row>
    <row r="51" spans="1:3" x14ac:dyDescent="0.2">
      <c r="A51" t="s">
        <v>353</v>
      </c>
    </row>
    <row r="52" spans="1:3" ht="5" customHeight="1" x14ac:dyDescent="0.2"/>
    <row r="53" spans="1:3" x14ac:dyDescent="0.2">
      <c r="A53" t="s">
        <v>354</v>
      </c>
      <c r="B53">
        <v>600</v>
      </c>
      <c r="C53" t="s">
        <v>355</v>
      </c>
    </row>
    <row r="54" spans="1:3" x14ac:dyDescent="0.2">
      <c r="A54" t="s">
        <v>356</v>
      </c>
      <c r="B54">
        <v>1000</v>
      </c>
      <c r="C54" t="s">
        <v>357</v>
      </c>
    </row>
    <row r="55" spans="1:3" x14ac:dyDescent="0.2">
      <c r="A55" t="s">
        <v>358</v>
      </c>
      <c r="B55">
        <f>B53*10%</f>
        <v>60</v>
      </c>
      <c r="C55" t="s">
        <v>359</v>
      </c>
    </row>
    <row r="56" spans="1:3" ht="6" customHeight="1" x14ac:dyDescent="0.2"/>
    <row r="57" spans="1:3" x14ac:dyDescent="0.2">
      <c r="A57" t="s">
        <v>354</v>
      </c>
      <c r="B57">
        <v>10000</v>
      </c>
      <c r="C57" t="s">
        <v>355</v>
      </c>
    </row>
    <row r="58" spans="1:3" x14ac:dyDescent="0.2">
      <c r="A58" t="s">
        <v>356</v>
      </c>
      <c r="B58">
        <v>5000</v>
      </c>
      <c r="C58" t="s">
        <v>357</v>
      </c>
    </row>
    <row r="59" spans="1:3" x14ac:dyDescent="0.2">
      <c r="A59" t="s">
        <v>358</v>
      </c>
      <c r="B59">
        <v>50</v>
      </c>
      <c r="C59" t="s">
        <v>359</v>
      </c>
    </row>
    <row r="60" spans="1:3" ht="6" customHeight="1" x14ac:dyDescent="0.2"/>
    <row r="61" spans="1:3" x14ac:dyDescent="0.2">
      <c r="A61" t="s">
        <v>360</v>
      </c>
      <c r="B61">
        <v>10000</v>
      </c>
      <c r="C61" t="s">
        <v>355</v>
      </c>
    </row>
    <row r="62" spans="1:3" x14ac:dyDescent="0.2">
      <c r="A62" t="s">
        <v>356</v>
      </c>
      <c r="B62">
        <v>12000</v>
      </c>
      <c r="C62" t="s">
        <v>357</v>
      </c>
    </row>
    <row r="63" spans="1:3" x14ac:dyDescent="0.2">
      <c r="A63" t="s">
        <v>358</v>
      </c>
      <c r="B63">
        <v>100</v>
      </c>
      <c r="C63" t="s">
        <v>359</v>
      </c>
    </row>
  </sheetData>
  <mergeCells count="2">
    <mergeCell ref="B25:C25"/>
    <mergeCell ref="B6:E6"/>
  </mergeCells>
  <phoneticPr fontId="6" type="noConversion"/>
  <pageMargins left="0.7" right="0.7" top="0.75" bottom="0.75" header="0.3" footer="0.3"/>
  <pageSetup paperSize="9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69"/>
  <sheetViews>
    <sheetView topLeftCell="A30" zoomScale="229" workbookViewId="0">
      <selection activeCell="H52" sqref="H52"/>
    </sheetView>
  </sheetViews>
  <sheetFormatPr baseColWidth="10" defaultColWidth="11" defaultRowHeight="16" x14ac:dyDescent="0.2"/>
  <cols>
    <col min="1" max="1" width="35" customWidth="1"/>
  </cols>
  <sheetData>
    <row r="1" spans="1:11" x14ac:dyDescent="0.2">
      <c r="B1" s="20" t="s">
        <v>56</v>
      </c>
      <c r="C1" s="20" t="s">
        <v>57</v>
      </c>
      <c r="D1" s="20" t="s">
        <v>58</v>
      </c>
      <c r="E1" s="20" t="s">
        <v>59</v>
      </c>
      <c r="F1" s="20" t="s">
        <v>60</v>
      </c>
      <c r="G1" s="20" t="s">
        <v>72</v>
      </c>
      <c r="H1" s="20" t="s">
        <v>73</v>
      </c>
      <c r="I1" s="20" t="s">
        <v>114</v>
      </c>
      <c r="J1" s="20" t="s">
        <v>74</v>
      </c>
      <c r="K1" s="20" t="s">
        <v>75</v>
      </c>
    </row>
    <row r="2" spans="1:11" x14ac:dyDescent="0.2">
      <c r="B2" s="19" t="s">
        <v>62</v>
      </c>
      <c r="C2" s="19" t="s">
        <v>63</v>
      </c>
      <c r="D2" s="19" t="s">
        <v>64</v>
      </c>
      <c r="E2" s="19" t="s">
        <v>61</v>
      </c>
      <c r="F2" s="3" t="s">
        <v>71</v>
      </c>
      <c r="G2" s="19" t="s">
        <v>76</v>
      </c>
      <c r="H2" s="19" t="s">
        <v>77</v>
      </c>
      <c r="I2" s="19" t="s">
        <v>78</v>
      </c>
      <c r="J2" s="19" t="s">
        <v>79</v>
      </c>
      <c r="K2" s="19" t="s">
        <v>89</v>
      </c>
    </row>
    <row r="3" spans="1:11" s="2" customFormat="1" x14ac:dyDescent="0.2">
      <c r="B3" s="21"/>
      <c r="C3" s="21"/>
      <c r="D3" s="21"/>
      <c r="E3" s="21"/>
    </row>
    <row r="4" spans="1:11" s="2" customFormat="1" x14ac:dyDescent="0.2">
      <c r="A4" s="9" t="s">
        <v>4</v>
      </c>
      <c r="B4" s="21"/>
      <c r="C4" s="21"/>
      <c r="D4" s="21"/>
      <c r="E4" s="21"/>
    </row>
    <row r="5" spans="1:11" s="2" customFormat="1" x14ac:dyDescent="0.2">
      <c r="A5" s="2" t="s">
        <v>109</v>
      </c>
      <c r="B5" s="21">
        <v>1000000</v>
      </c>
      <c r="C5" s="21">
        <v>500000</v>
      </c>
      <c r="D5" s="21"/>
      <c r="E5" s="21"/>
    </row>
    <row r="6" spans="1:11" s="2" customFormat="1" x14ac:dyDescent="0.2">
      <c r="A6" s="2" t="s">
        <v>108</v>
      </c>
      <c r="B6" s="21"/>
      <c r="C6" s="21">
        <f>Assumptions!C25</f>
        <v>500000</v>
      </c>
      <c r="D6" s="21"/>
      <c r="E6" s="21">
        <f>0-C6</f>
        <v>-500000</v>
      </c>
    </row>
    <row r="7" spans="1:11" s="2" customFormat="1" x14ac:dyDescent="0.2">
      <c r="A7" s="2" t="s">
        <v>68</v>
      </c>
      <c r="B7" s="21">
        <v>250000</v>
      </c>
      <c r="C7" s="21">
        <v>250000</v>
      </c>
      <c r="D7" s="21"/>
      <c r="E7" s="21"/>
    </row>
    <row r="8" spans="1:11" s="2" customFormat="1" x14ac:dyDescent="0.2">
      <c r="A8" s="2" t="s">
        <v>69</v>
      </c>
      <c r="B8" s="21">
        <v>200000</v>
      </c>
      <c r="C8" s="21">
        <v>300000</v>
      </c>
      <c r="D8" s="21"/>
      <c r="E8" s="21"/>
    </row>
    <row r="9" spans="1:11" s="2" customFormat="1" x14ac:dyDescent="0.2">
      <c r="A9" s="2" t="s">
        <v>96</v>
      </c>
      <c r="B9" s="21"/>
      <c r="C9" s="21"/>
      <c r="D9" s="21"/>
      <c r="E9" s="21">
        <v>500000</v>
      </c>
    </row>
    <row r="10" spans="1:11" s="2" customFormat="1" x14ac:dyDescent="0.2">
      <c r="B10" s="21"/>
      <c r="C10" s="21"/>
      <c r="D10" s="21"/>
      <c r="E10" s="21"/>
    </row>
    <row r="11" spans="1:11" s="9" customFormat="1" x14ac:dyDescent="0.2">
      <c r="A11" s="9" t="s">
        <v>70</v>
      </c>
      <c r="B11" s="22">
        <f>SUM(B5:B10)</f>
        <v>1450000</v>
      </c>
      <c r="C11" s="22">
        <f>SUM(C5:C10)</f>
        <v>1550000</v>
      </c>
      <c r="D11" s="22">
        <f t="shared" ref="D11:E11" si="0">SUM(D5:D10)</f>
        <v>0</v>
      </c>
      <c r="E11" s="22">
        <f t="shared" si="0"/>
        <v>0</v>
      </c>
      <c r="F11" s="22"/>
    </row>
    <row r="12" spans="1:11" s="2" customFormat="1" x14ac:dyDescent="0.2">
      <c r="B12" s="21"/>
      <c r="C12" s="21"/>
      <c r="D12" s="21"/>
      <c r="E12" s="21"/>
    </row>
    <row r="13" spans="1:11" s="2" customFormat="1" x14ac:dyDescent="0.2">
      <c r="A13" s="9" t="s">
        <v>67</v>
      </c>
      <c r="B13" s="21"/>
      <c r="C13" s="21"/>
      <c r="D13" s="21"/>
      <c r="E13" s="21"/>
    </row>
    <row r="14" spans="1:11" s="2" customFormat="1" x14ac:dyDescent="0.2">
      <c r="A14" s="2" t="s">
        <v>101</v>
      </c>
      <c r="C14" s="2">
        <v>1100000</v>
      </c>
    </row>
    <row r="15" spans="1:11" s="2" customFormat="1" x14ac:dyDescent="0.2">
      <c r="A15" s="2" t="s">
        <v>104</v>
      </c>
      <c r="B15" s="2">
        <v>40000</v>
      </c>
    </row>
    <row r="16" spans="1:11" s="2" customFormat="1" x14ac:dyDescent="0.2">
      <c r="A16" s="2" t="s">
        <v>65</v>
      </c>
      <c r="B16" s="2">
        <f>(Assumptions!C7/3)/2</f>
        <v>125000</v>
      </c>
      <c r="C16" s="2">
        <v>250000</v>
      </c>
      <c r="D16" s="2">
        <v>250000</v>
      </c>
      <c r="E16" s="2">
        <v>125000</v>
      </c>
    </row>
    <row r="17" spans="1:11" s="2" customFormat="1" x14ac:dyDescent="0.2">
      <c r="A17" s="2" t="s">
        <v>66</v>
      </c>
      <c r="B17" s="2">
        <f>Assumptions!C8</f>
        <v>300000</v>
      </c>
    </row>
    <row r="18" spans="1:11" s="2" customFormat="1" x14ac:dyDescent="0.2">
      <c r="A18" s="2" t="s">
        <v>7</v>
      </c>
      <c r="B18" s="2">
        <f>Assumptions!C9/3</f>
        <v>75000</v>
      </c>
      <c r="C18" s="2">
        <f>B18</f>
        <v>75000</v>
      </c>
      <c r="D18" s="2">
        <f>C18</f>
        <v>75000</v>
      </c>
    </row>
    <row r="19" spans="1:11" s="2" customFormat="1" x14ac:dyDescent="0.2">
      <c r="A19" s="2" t="s">
        <v>9</v>
      </c>
      <c r="B19" s="2">
        <v>50000</v>
      </c>
      <c r="C19" s="2">
        <v>100000</v>
      </c>
      <c r="D19" s="2">
        <v>100000</v>
      </c>
      <c r="E19" s="2">
        <v>50000</v>
      </c>
    </row>
    <row r="20" spans="1:11" s="2" customFormat="1" x14ac:dyDescent="0.2">
      <c r="A20" s="2" t="s">
        <v>21</v>
      </c>
      <c r="B20" s="2">
        <v>20000</v>
      </c>
      <c r="C20" s="2">
        <v>40000</v>
      </c>
      <c r="D20" s="2">
        <f>C20</f>
        <v>40000</v>
      </c>
      <c r="E20" s="2">
        <v>20000</v>
      </c>
    </row>
    <row r="21" spans="1:11" s="2" customFormat="1" x14ac:dyDescent="0.2">
      <c r="A21" s="2" t="s">
        <v>88</v>
      </c>
      <c r="C21" s="2">
        <f>Assumptions!E25</f>
        <v>32500</v>
      </c>
      <c r="D21" s="2">
        <f>C21</f>
        <v>32500</v>
      </c>
    </row>
    <row r="22" spans="1:11" s="2" customFormat="1" x14ac:dyDescent="0.2"/>
    <row r="23" spans="1:11" s="9" customFormat="1" x14ac:dyDescent="0.2">
      <c r="A23" s="9" t="s">
        <v>82</v>
      </c>
      <c r="B23" s="9">
        <f>SUM(B14:B22)</f>
        <v>610000</v>
      </c>
      <c r="C23" s="9">
        <f>SUM(C14:C22)</f>
        <v>1597500</v>
      </c>
      <c r="D23" s="9">
        <f>SUM(D14:D22)</f>
        <v>497500</v>
      </c>
      <c r="E23" s="9">
        <f>SUM(E14:E22)</f>
        <v>195000</v>
      </c>
    </row>
    <row r="24" spans="1:11" s="9" customFormat="1" x14ac:dyDescent="0.2"/>
    <row r="25" spans="1:11" s="23" customFormat="1" x14ac:dyDescent="0.2">
      <c r="A25" s="23" t="s">
        <v>83</v>
      </c>
      <c r="B25" s="23">
        <f>B11-B23</f>
        <v>840000</v>
      </c>
      <c r="C25" s="23">
        <f t="shared" ref="C25:K25" si="1">B25+(C11-C23)</f>
        <v>792500</v>
      </c>
      <c r="D25" s="23">
        <f t="shared" si="1"/>
        <v>295000</v>
      </c>
      <c r="E25" s="23">
        <f t="shared" si="1"/>
        <v>100000</v>
      </c>
      <c r="F25" s="23">
        <f t="shared" si="1"/>
        <v>100000</v>
      </c>
      <c r="G25" s="23">
        <f t="shared" si="1"/>
        <v>100000</v>
      </c>
      <c r="H25" s="23">
        <f t="shared" si="1"/>
        <v>100000</v>
      </c>
      <c r="I25" s="23">
        <f t="shared" si="1"/>
        <v>100000</v>
      </c>
      <c r="J25" s="23">
        <f t="shared" si="1"/>
        <v>100000</v>
      </c>
      <c r="K25" s="23">
        <f t="shared" si="1"/>
        <v>100000</v>
      </c>
    </row>
    <row r="26" spans="1:11" s="2" customFormat="1" x14ac:dyDescent="0.2">
      <c r="E26" s="23" t="s">
        <v>100</v>
      </c>
    </row>
    <row r="27" spans="1:11" s="2" customFormat="1" x14ac:dyDescent="0.2">
      <c r="A27" s="24" t="s">
        <v>90</v>
      </c>
    </row>
    <row r="28" spans="1:11" s="2" customFormat="1" x14ac:dyDescent="0.2">
      <c r="A28" s="9"/>
    </row>
    <row r="29" spans="1:11" s="2" customFormat="1" x14ac:dyDescent="0.2">
      <c r="A29" s="9" t="s">
        <v>80</v>
      </c>
    </row>
    <row r="30" spans="1:11" s="2" customFormat="1" x14ac:dyDescent="0.2">
      <c r="A30" t="s">
        <v>29</v>
      </c>
      <c r="E30" s="2">
        <f>Assumptions!C36</f>
        <v>175000</v>
      </c>
      <c r="F30" s="2">
        <f>E30*102%</f>
        <v>178500</v>
      </c>
      <c r="G30" s="2">
        <f>F30*102%</f>
        <v>182070</v>
      </c>
      <c r="H30" s="2">
        <f>H60</f>
        <v>225000</v>
      </c>
      <c r="I30" s="2">
        <f t="shared" ref="I30:K30" si="2">H30*102%</f>
        <v>229500</v>
      </c>
      <c r="J30" s="2">
        <f t="shared" si="2"/>
        <v>234090</v>
      </c>
      <c r="K30" s="2">
        <f t="shared" si="2"/>
        <v>238771.80000000002</v>
      </c>
    </row>
    <row r="31" spans="1:11" s="2" customFormat="1" x14ac:dyDescent="0.2">
      <c r="A31" t="s">
        <v>31</v>
      </c>
      <c r="E31" s="2">
        <f>Assumptions!C37</f>
        <v>42000</v>
      </c>
      <c r="F31" s="2">
        <f>E31*105%</f>
        <v>44100</v>
      </c>
      <c r="G31" s="2">
        <f t="shared" ref="G31:K31" si="3">F31*105%</f>
        <v>46305</v>
      </c>
      <c r="H31" s="2">
        <f t="shared" si="3"/>
        <v>48620.25</v>
      </c>
      <c r="I31" s="2">
        <f t="shared" si="3"/>
        <v>51051.262500000004</v>
      </c>
      <c r="J31" s="2">
        <f t="shared" si="3"/>
        <v>53603.825625000005</v>
      </c>
      <c r="K31" s="2">
        <f t="shared" si="3"/>
        <v>56284.016906250006</v>
      </c>
    </row>
    <row r="32" spans="1:11" s="2" customFormat="1" x14ac:dyDescent="0.2">
      <c r="A32" t="s">
        <v>30</v>
      </c>
      <c r="E32" s="2">
        <f>E43-E30-E31</f>
        <v>48000</v>
      </c>
      <c r="F32" s="2">
        <f t="shared" ref="F32:K32" si="4">F43-F30-F31</f>
        <v>47020</v>
      </c>
      <c r="G32" s="2">
        <f t="shared" si="4"/>
        <v>45957.400000000023</v>
      </c>
      <c r="H32" s="2">
        <f t="shared" si="4"/>
        <v>5518.798000000068</v>
      </c>
      <c r="I32" s="2">
        <f t="shared" si="4"/>
        <v>3490.5664600000091</v>
      </c>
      <c r="J32" s="2">
        <f t="shared" si="4"/>
        <v>1348.8399142000635</v>
      </c>
      <c r="K32" s="2">
        <f t="shared" si="4"/>
        <v>-912.29805626597954</v>
      </c>
    </row>
    <row r="33" spans="1:11" s="2" customFormat="1" ht="7" customHeight="1" x14ac:dyDescent="0.2">
      <c r="A33"/>
    </row>
    <row r="34" spans="1:11" s="9" customFormat="1" x14ac:dyDescent="0.2">
      <c r="A34" s="3" t="s">
        <v>91</v>
      </c>
      <c r="E34" s="9">
        <f>SUM(E30:E33)</f>
        <v>265000</v>
      </c>
      <c r="F34" s="9">
        <f t="shared" ref="F34:G34" si="5">SUM(F30:F33)</f>
        <v>269620</v>
      </c>
      <c r="G34" s="9">
        <f t="shared" si="5"/>
        <v>274332.40000000002</v>
      </c>
      <c r="H34" s="9">
        <f t="shared" ref="H34" si="6">SUM(H30:H33)</f>
        <v>279139.04800000007</v>
      </c>
      <c r="I34" s="9">
        <f t="shared" ref="I34" si="7">SUM(I30:I33)</f>
        <v>284041.82896000001</v>
      </c>
      <c r="J34" s="9">
        <f t="shared" ref="J34" si="8">SUM(J30:J33)</f>
        <v>289042.66553920007</v>
      </c>
      <c r="K34" s="9">
        <f t="shared" ref="K34" si="9">SUM(K30:K33)</f>
        <v>294143.51884998404</v>
      </c>
    </row>
    <row r="35" spans="1:11" s="2" customFormat="1" x14ac:dyDescent="0.2"/>
    <row r="36" spans="1:11" s="2" customFormat="1" x14ac:dyDescent="0.2">
      <c r="A36" s="9" t="s">
        <v>81</v>
      </c>
    </row>
    <row r="37" spans="1:11" s="2" customFormat="1" x14ac:dyDescent="0.2">
      <c r="A37" t="s">
        <v>48</v>
      </c>
      <c r="E37" s="2">
        <f>Assumptions!C43</f>
        <v>25000</v>
      </c>
      <c r="F37" s="2">
        <f>E37*102%</f>
        <v>25500</v>
      </c>
      <c r="G37" s="2">
        <f t="shared" ref="G37:K37" si="10">F37*102%</f>
        <v>26010</v>
      </c>
      <c r="H37" s="2">
        <f t="shared" si="10"/>
        <v>26530.2</v>
      </c>
      <c r="I37" s="2">
        <f t="shared" si="10"/>
        <v>27060.804</v>
      </c>
      <c r="J37" s="2">
        <f t="shared" si="10"/>
        <v>27602.020080000002</v>
      </c>
      <c r="K37" s="2">
        <f t="shared" si="10"/>
        <v>28154.060481600001</v>
      </c>
    </row>
    <row r="38" spans="1:11" s="2" customFormat="1" x14ac:dyDescent="0.2">
      <c r="A38" t="s">
        <v>26</v>
      </c>
      <c r="E38" s="2">
        <f>Assumptions!C44</f>
        <v>50000</v>
      </c>
      <c r="F38" s="2">
        <f>E38*102%</f>
        <v>51000</v>
      </c>
      <c r="G38" s="2">
        <f t="shared" ref="G38:K38" si="11">F38*102%</f>
        <v>52020</v>
      </c>
      <c r="H38" s="2">
        <f t="shared" si="11"/>
        <v>53060.4</v>
      </c>
      <c r="I38" s="2">
        <f t="shared" si="11"/>
        <v>54121.608</v>
      </c>
      <c r="J38" s="2">
        <f t="shared" si="11"/>
        <v>55204.040160000004</v>
      </c>
      <c r="K38" s="2">
        <f t="shared" si="11"/>
        <v>56308.120963200003</v>
      </c>
    </row>
    <row r="39" spans="1:11" s="2" customFormat="1" x14ac:dyDescent="0.2">
      <c r="A39" t="s">
        <v>27</v>
      </c>
      <c r="E39" s="2">
        <f>Assumptions!C45</f>
        <v>81000</v>
      </c>
      <c r="F39" s="2">
        <f>E39*102%</f>
        <v>82620</v>
      </c>
      <c r="G39" s="2">
        <f t="shared" ref="G39:K39" si="12">F39*102%</f>
        <v>84272.400000000009</v>
      </c>
      <c r="H39" s="2">
        <f t="shared" si="12"/>
        <v>85957.848000000013</v>
      </c>
      <c r="I39" s="2">
        <f t="shared" si="12"/>
        <v>87677.00496000002</v>
      </c>
      <c r="J39" s="2">
        <f t="shared" si="12"/>
        <v>89430.545059200027</v>
      </c>
      <c r="K39" s="2">
        <f t="shared" si="12"/>
        <v>91219.155960384029</v>
      </c>
    </row>
    <row r="40" spans="1:11" s="2" customFormat="1" x14ac:dyDescent="0.2">
      <c r="A40" t="s">
        <v>28</v>
      </c>
      <c r="E40" s="2">
        <f>Assumptions!C46</f>
        <v>75000</v>
      </c>
      <c r="F40" s="2">
        <f>E40*102%</f>
        <v>76500</v>
      </c>
      <c r="G40" s="2">
        <f t="shared" ref="G40:K40" si="13">F40*102%</f>
        <v>78030</v>
      </c>
      <c r="H40" s="2">
        <f t="shared" si="13"/>
        <v>79590.600000000006</v>
      </c>
      <c r="I40" s="2">
        <f t="shared" si="13"/>
        <v>81182.412000000011</v>
      </c>
      <c r="J40" s="2">
        <f t="shared" si="13"/>
        <v>82806.060240000006</v>
      </c>
      <c r="K40" s="2">
        <f t="shared" si="13"/>
        <v>84462.181444800008</v>
      </c>
    </row>
    <row r="41" spans="1:11" s="2" customFormat="1" x14ac:dyDescent="0.2">
      <c r="A41" t="s">
        <v>95</v>
      </c>
      <c r="E41" s="2">
        <f>Assumptions!C47</f>
        <v>34000</v>
      </c>
      <c r="F41" s="2">
        <f>E41</f>
        <v>34000</v>
      </c>
      <c r="G41" s="2">
        <f t="shared" ref="G41:K41" si="14">F41</f>
        <v>34000</v>
      </c>
      <c r="H41" s="2">
        <f t="shared" si="14"/>
        <v>34000</v>
      </c>
      <c r="I41" s="2">
        <f t="shared" si="14"/>
        <v>34000</v>
      </c>
      <c r="J41" s="2">
        <f t="shared" si="14"/>
        <v>34000</v>
      </c>
      <c r="K41" s="2">
        <f t="shared" si="14"/>
        <v>34000</v>
      </c>
    </row>
    <row r="42" spans="1:11" s="2" customFormat="1" ht="7" customHeight="1" x14ac:dyDescent="0.2"/>
    <row r="43" spans="1:11" s="9" customFormat="1" x14ac:dyDescent="0.2">
      <c r="A43" s="9" t="s">
        <v>92</v>
      </c>
      <c r="E43" s="9">
        <f>SUM(E37:E42)</f>
        <v>265000</v>
      </c>
      <c r="F43" s="9">
        <f t="shared" ref="F43:G43" si="15">SUM(F37:F42)</f>
        <v>269620</v>
      </c>
      <c r="G43" s="9">
        <f t="shared" si="15"/>
        <v>274332.40000000002</v>
      </c>
      <c r="H43" s="9">
        <f t="shared" ref="H43" si="16">SUM(H37:H42)</f>
        <v>279139.04800000007</v>
      </c>
      <c r="I43" s="9">
        <f t="shared" ref="I43" si="17">SUM(I37:I42)</f>
        <v>284041.82896000001</v>
      </c>
      <c r="J43" s="9">
        <f t="shared" ref="J43" si="18">SUM(J37:J42)</f>
        <v>289042.66553920007</v>
      </c>
      <c r="K43" s="9">
        <f t="shared" ref="K43" si="19">SUM(K37:K42)</f>
        <v>294143.51884998404</v>
      </c>
    </row>
    <row r="44" spans="1:11" s="2" customFormat="1" x14ac:dyDescent="0.2"/>
    <row r="45" spans="1:11" s="9" customFormat="1" x14ac:dyDescent="0.2">
      <c r="A45" s="9" t="s">
        <v>93</v>
      </c>
      <c r="E45" s="9">
        <f>E34-E43</f>
        <v>0</v>
      </c>
      <c r="F45" s="9">
        <f t="shared" ref="F45:K45" si="20">F34-F43</f>
        <v>0</v>
      </c>
      <c r="G45" s="9">
        <f t="shared" si="20"/>
        <v>0</v>
      </c>
      <c r="H45" s="9">
        <f t="shared" si="20"/>
        <v>0</v>
      </c>
      <c r="I45" s="9">
        <f t="shared" si="20"/>
        <v>0</v>
      </c>
      <c r="J45" s="9">
        <f t="shared" si="20"/>
        <v>0</v>
      </c>
      <c r="K45" s="9">
        <f t="shared" si="20"/>
        <v>0</v>
      </c>
    </row>
    <row r="46" spans="1:11" s="2" customFormat="1" x14ac:dyDescent="0.2"/>
    <row r="47" spans="1:11" s="2" customFormat="1" x14ac:dyDescent="0.2">
      <c r="A47" s="24" t="s">
        <v>94</v>
      </c>
    </row>
    <row r="48" spans="1:11" s="2" customFormat="1" x14ac:dyDescent="0.2"/>
    <row r="49" spans="1:11" s="2" customFormat="1" x14ac:dyDescent="0.2">
      <c r="A49" s="9" t="s">
        <v>80</v>
      </c>
      <c r="E49" s="25" t="s">
        <v>103</v>
      </c>
      <c r="F49" s="25"/>
      <c r="G49" s="25"/>
      <c r="H49" s="25" t="s">
        <v>102</v>
      </c>
    </row>
    <row r="50" spans="1:11" s="2" customFormat="1" x14ac:dyDescent="0.2">
      <c r="A50" s="2" t="s">
        <v>84</v>
      </c>
      <c r="E50" s="2">
        <f>Assumptions!C59</f>
        <v>1029000</v>
      </c>
      <c r="F50" s="2">
        <f>E50*102%</f>
        <v>1049580</v>
      </c>
      <c r="G50" s="2">
        <f>F50*102%</f>
        <v>1070571.6000000001</v>
      </c>
      <c r="H50" s="2">
        <f>Assumptions!E59</f>
        <v>1400000</v>
      </c>
      <c r="I50" s="2">
        <f>H50*102%</f>
        <v>1428000</v>
      </c>
      <c r="J50" s="2">
        <f t="shared" ref="J50:K50" si="21">I50*102%</f>
        <v>1456560</v>
      </c>
      <c r="K50" s="2">
        <f t="shared" si="21"/>
        <v>1485691.2</v>
      </c>
    </row>
    <row r="51" spans="1:11" s="2" customFormat="1" x14ac:dyDescent="0.2">
      <c r="A51" s="2" t="s">
        <v>37</v>
      </c>
      <c r="E51" s="2">
        <f>Assumptions!C60</f>
        <v>120000</v>
      </c>
      <c r="F51" s="2">
        <f>E51*102%</f>
        <v>122400</v>
      </c>
      <c r="G51" s="2">
        <f t="shared" ref="G51:K52" si="22">F51*102%</f>
        <v>124848</v>
      </c>
      <c r="H51" s="2">
        <f>Assumptions!E60</f>
        <v>200000</v>
      </c>
      <c r="I51" s="2">
        <f t="shared" si="22"/>
        <v>204000</v>
      </c>
      <c r="J51" s="2">
        <f t="shared" si="22"/>
        <v>208080</v>
      </c>
      <c r="K51" s="2">
        <f t="shared" si="22"/>
        <v>212241.6</v>
      </c>
    </row>
    <row r="52" spans="1:11" s="2" customFormat="1" x14ac:dyDescent="0.2">
      <c r="A52" s="2" t="s">
        <v>36</v>
      </c>
      <c r="E52" s="2">
        <f>Assumptions!C61</f>
        <v>120000</v>
      </c>
      <c r="F52" s="2">
        <f>E52*102%</f>
        <v>122400</v>
      </c>
      <c r="G52" s="2">
        <f t="shared" si="22"/>
        <v>124848</v>
      </c>
      <c r="H52" s="2">
        <f t="shared" si="22"/>
        <v>127344.96000000001</v>
      </c>
      <c r="I52" s="2">
        <f t="shared" si="22"/>
        <v>129891.85920000001</v>
      </c>
      <c r="J52" s="2">
        <f t="shared" si="22"/>
        <v>132489.69638400001</v>
      </c>
      <c r="K52" s="2">
        <f t="shared" si="22"/>
        <v>135139.49031168001</v>
      </c>
    </row>
    <row r="53" spans="1:11" s="2" customFormat="1" ht="7" customHeight="1" x14ac:dyDescent="0.2"/>
    <row r="54" spans="1:11" s="9" customFormat="1" x14ac:dyDescent="0.2">
      <c r="E54" s="9">
        <f>SUM(E50:E53)</f>
        <v>1269000</v>
      </c>
      <c r="F54" s="9">
        <f t="shared" ref="F54:K54" si="23">SUM(F50:F53)</f>
        <v>1294380</v>
      </c>
      <c r="G54" s="9">
        <f t="shared" si="23"/>
        <v>1320267.6000000001</v>
      </c>
      <c r="H54" s="9">
        <f t="shared" si="23"/>
        <v>1727344.96</v>
      </c>
      <c r="I54" s="9">
        <f t="shared" si="23"/>
        <v>1761891.8592000001</v>
      </c>
      <c r="J54" s="9">
        <f t="shared" si="23"/>
        <v>1797129.6963840001</v>
      </c>
      <c r="K54" s="9">
        <f t="shared" si="23"/>
        <v>1833072.2903116802</v>
      </c>
    </row>
    <row r="55" spans="1:11" s="2" customFormat="1" x14ac:dyDescent="0.2">
      <c r="A55" s="9" t="s">
        <v>81</v>
      </c>
    </row>
    <row r="56" spans="1:11" s="2" customFormat="1" x14ac:dyDescent="0.2">
      <c r="A56" s="2" t="s">
        <v>2</v>
      </c>
      <c r="E56" s="2">
        <f>Assumptions!C66</f>
        <v>308700</v>
      </c>
      <c r="F56" s="2">
        <f t="shared" ref="F56:F61" si="24">E56*102%</f>
        <v>314874</v>
      </c>
      <c r="G56" s="2">
        <f t="shared" ref="G56:K56" si="25">F56*102%</f>
        <v>321171.48</v>
      </c>
      <c r="H56" s="2">
        <f>Assumptions!E66</f>
        <v>420000</v>
      </c>
      <c r="I56" s="2">
        <f t="shared" si="25"/>
        <v>428400</v>
      </c>
      <c r="J56" s="2">
        <f t="shared" si="25"/>
        <v>436968</v>
      </c>
      <c r="K56" s="2">
        <f t="shared" si="25"/>
        <v>445707.36</v>
      </c>
    </row>
    <row r="57" spans="1:11" s="2" customFormat="1" x14ac:dyDescent="0.2">
      <c r="A57" s="11" t="s">
        <v>38</v>
      </c>
      <c r="E57" s="2">
        <f>Assumptions!C67</f>
        <v>287250</v>
      </c>
      <c r="F57" s="2">
        <f t="shared" si="24"/>
        <v>292995</v>
      </c>
      <c r="G57" s="2">
        <f t="shared" ref="G57:K60" si="26">F57*102%</f>
        <v>298854.90000000002</v>
      </c>
      <c r="H57" s="2">
        <f>Assumptions!E67</f>
        <v>400000</v>
      </c>
      <c r="I57" s="2">
        <f t="shared" si="26"/>
        <v>408000</v>
      </c>
      <c r="J57" s="2">
        <f t="shared" si="26"/>
        <v>416160</v>
      </c>
      <c r="K57" s="2">
        <f t="shared" si="26"/>
        <v>424483.2</v>
      </c>
    </row>
    <row r="58" spans="1:11" s="2" customFormat="1" x14ac:dyDescent="0.2">
      <c r="A58" s="11" t="s">
        <v>39</v>
      </c>
      <c r="E58" s="2">
        <f>Assumptions!C68</f>
        <v>249729.99999999997</v>
      </c>
      <c r="F58" s="2">
        <f t="shared" si="24"/>
        <v>254724.59999999998</v>
      </c>
      <c r="G58" s="2">
        <f t="shared" si="26"/>
        <v>259819.09199999998</v>
      </c>
      <c r="H58" s="2">
        <f t="shared" si="26"/>
        <v>265015.47383999999</v>
      </c>
      <c r="I58" s="2">
        <f t="shared" si="26"/>
        <v>270315.78331680002</v>
      </c>
      <c r="J58" s="2">
        <f t="shared" si="26"/>
        <v>275722.09898313601</v>
      </c>
      <c r="K58" s="2">
        <f t="shared" si="26"/>
        <v>281236.54096279875</v>
      </c>
    </row>
    <row r="59" spans="1:11" s="2" customFormat="1" x14ac:dyDescent="0.2">
      <c r="A59" s="11" t="s">
        <v>55</v>
      </c>
      <c r="E59" s="2">
        <f>Assumptions!C69</f>
        <v>24000</v>
      </c>
      <c r="F59" s="2">
        <f t="shared" si="24"/>
        <v>24480</v>
      </c>
      <c r="G59" s="2">
        <f t="shared" si="26"/>
        <v>24969.600000000002</v>
      </c>
      <c r="H59" s="2">
        <f t="shared" si="26"/>
        <v>25468.992000000002</v>
      </c>
      <c r="I59" s="2">
        <f t="shared" si="26"/>
        <v>25978.371840000003</v>
      </c>
      <c r="J59" s="2">
        <f t="shared" si="26"/>
        <v>26497.939276800003</v>
      </c>
      <c r="K59" s="2">
        <f t="shared" si="26"/>
        <v>27027.898062336004</v>
      </c>
    </row>
    <row r="60" spans="1:11" s="2" customFormat="1" x14ac:dyDescent="0.2">
      <c r="A60" s="2" t="s">
        <v>0</v>
      </c>
      <c r="E60" s="2">
        <f>Assumptions!C70</f>
        <v>175000</v>
      </c>
      <c r="F60" s="2">
        <f t="shared" si="24"/>
        <v>178500</v>
      </c>
      <c r="G60" s="2">
        <f>F60*102%</f>
        <v>182070</v>
      </c>
      <c r="H60" s="2">
        <v>225000</v>
      </c>
      <c r="I60" s="2">
        <f t="shared" si="26"/>
        <v>229500</v>
      </c>
      <c r="J60" s="2">
        <f t="shared" si="26"/>
        <v>234090</v>
      </c>
      <c r="K60" s="2">
        <f t="shared" si="26"/>
        <v>238771.80000000002</v>
      </c>
    </row>
    <row r="61" spans="1:11" s="2" customFormat="1" x14ac:dyDescent="0.2">
      <c r="A61" s="2" t="s">
        <v>20</v>
      </c>
      <c r="E61" s="2">
        <f>Assumptions!C71</f>
        <v>65000</v>
      </c>
      <c r="F61" s="2">
        <f t="shared" si="24"/>
        <v>66300</v>
      </c>
      <c r="G61" s="2">
        <f t="shared" ref="G61:K61" si="27">F61*102%</f>
        <v>67626</v>
      </c>
      <c r="H61" s="2">
        <f t="shared" si="27"/>
        <v>68978.52</v>
      </c>
      <c r="I61" s="2">
        <f t="shared" si="27"/>
        <v>70358.090400000001</v>
      </c>
      <c r="J61" s="2">
        <f t="shared" si="27"/>
        <v>71765.252208000005</v>
      </c>
      <c r="K61" s="2">
        <f t="shared" si="27"/>
        <v>73200.557252160012</v>
      </c>
    </row>
    <row r="62" spans="1:11" s="2" customFormat="1" x14ac:dyDescent="0.2">
      <c r="A62" s="2" t="s">
        <v>97</v>
      </c>
      <c r="E62" s="2">
        <f>Assumptions!C72</f>
        <v>60000</v>
      </c>
      <c r="F62" s="2">
        <f t="shared" ref="F62:K62" si="28">E62*102%</f>
        <v>61200</v>
      </c>
      <c r="G62" s="2">
        <f t="shared" si="28"/>
        <v>62424</v>
      </c>
      <c r="H62" s="2">
        <f t="shared" si="28"/>
        <v>63672.480000000003</v>
      </c>
      <c r="I62" s="2">
        <f t="shared" si="28"/>
        <v>64945.929600000003</v>
      </c>
      <c r="J62" s="2">
        <f t="shared" si="28"/>
        <v>66244.848192000005</v>
      </c>
      <c r="K62" s="2">
        <f t="shared" si="28"/>
        <v>67569.745155840006</v>
      </c>
    </row>
    <row r="63" spans="1:11" s="2" customFormat="1" x14ac:dyDescent="0.2">
      <c r="A63" s="2" t="s">
        <v>26</v>
      </c>
      <c r="E63" s="2">
        <f>Assumptions!C73</f>
        <v>30000</v>
      </c>
      <c r="F63" s="2">
        <f t="shared" ref="F63:K63" si="29">E63*102%</f>
        <v>30600</v>
      </c>
      <c r="G63" s="2">
        <f t="shared" si="29"/>
        <v>31212</v>
      </c>
      <c r="H63" s="2">
        <f t="shared" si="29"/>
        <v>31836.240000000002</v>
      </c>
      <c r="I63" s="2">
        <f t="shared" si="29"/>
        <v>32472.964800000002</v>
      </c>
      <c r="J63" s="2">
        <f t="shared" si="29"/>
        <v>33122.424096000002</v>
      </c>
      <c r="K63" s="2">
        <f t="shared" si="29"/>
        <v>33784.872577920003</v>
      </c>
    </row>
    <row r="64" spans="1:11" s="2" customFormat="1" ht="9" customHeight="1" x14ac:dyDescent="0.2"/>
    <row r="65" spans="1:11" s="9" customFormat="1" x14ac:dyDescent="0.2">
      <c r="E65" s="9">
        <f>SUM(E56:E64)</f>
        <v>1199680</v>
      </c>
      <c r="F65" s="9">
        <f t="shared" ref="F65:K65" si="30">SUM(F56:F64)</f>
        <v>1223673.6000000001</v>
      </c>
      <c r="G65" s="9">
        <f t="shared" si="30"/>
        <v>1248147.0719999999</v>
      </c>
      <c r="H65" s="9">
        <f t="shared" si="30"/>
        <v>1499971.7058400002</v>
      </c>
      <c r="I65" s="9">
        <f t="shared" si="30"/>
        <v>1529971.1399567998</v>
      </c>
      <c r="J65" s="9">
        <f t="shared" si="30"/>
        <v>1560570.5627559361</v>
      </c>
      <c r="K65" s="9">
        <f t="shared" si="30"/>
        <v>1591781.974011055</v>
      </c>
    </row>
    <row r="67" spans="1:11" s="3" customFormat="1" x14ac:dyDescent="0.2">
      <c r="A67" s="3" t="s">
        <v>87</v>
      </c>
      <c r="E67" s="9">
        <f>E54-E65</f>
        <v>69320</v>
      </c>
      <c r="F67" s="9">
        <f t="shared" ref="F67:K67" si="31">F54-F65</f>
        <v>70706.399999999907</v>
      </c>
      <c r="G67" s="9">
        <f t="shared" si="31"/>
        <v>72120.528000000166</v>
      </c>
      <c r="H67" s="9">
        <f t="shared" si="31"/>
        <v>227373.25415999978</v>
      </c>
      <c r="I67" s="9">
        <f t="shared" si="31"/>
        <v>231920.71924320026</v>
      </c>
      <c r="J67" s="9">
        <f t="shared" si="31"/>
        <v>236559.13362806407</v>
      </c>
      <c r="K67" s="9">
        <f t="shared" si="31"/>
        <v>241290.31630062521</v>
      </c>
    </row>
    <row r="68" spans="1:11" x14ac:dyDescent="0.2">
      <c r="E68" s="1">
        <f>E67/E54</f>
        <v>5.462568951930654E-2</v>
      </c>
      <c r="F68" s="1">
        <f t="shared" ref="F68:K68" si="32">F67/F54</f>
        <v>5.4625689519306471E-2</v>
      </c>
      <c r="G68" s="1">
        <f t="shared" si="32"/>
        <v>5.4625689519306665E-2</v>
      </c>
      <c r="H68" s="1">
        <f t="shared" si="32"/>
        <v>0.13163164244853545</v>
      </c>
      <c r="I68" s="1">
        <f t="shared" si="32"/>
        <v>0.13163164244853573</v>
      </c>
      <c r="J68" s="1">
        <f t="shared" si="32"/>
        <v>0.13163164244853562</v>
      </c>
      <c r="K68" s="1">
        <f t="shared" si="32"/>
        <v>0.13163164244853554</v>
      </c>
    </row>
    <row r="69" spans="1:11" x14ac:dyDescent="0.2">
      <c r="E69" s="8"/>
    </row>
  </sheetData>
  <phoneticPr fontId="6" type="noConversion"/>
  <pageMargins left="0.7" right="0.7" top="0.75" bottom="0.75" header="0.3" footer="0.3"/>
  <pageSetup paperSize="9" scale="86" fitToHeight="2" orientation="landscape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3"/>
  <sheetViews>
    <sheetView zoomScale="214" workbookViewId="0">
      <selection activeCell="G47" sqref="G47"/>
    </sheetView>
  </sheetViews>
  <sheetFormatPr baseColWidth="10" defaultColWidth="11" defaultRowHeight="16" x14ac:dyDescent="0.2"/>
  <cols>
    <col min="1" max="1" width="17.5" customWidth="1"/>
    <col min="5" max="5" width="13.6640625" bestFit="1" customWidth="1"/>
    <col min="6" max="6" width="15.5" customWidth="1"/>
  </cols>
  <sheetData>
    <row r="1" spans="1:12" x14ac:dyDescent="0.3">
      <c r="C1" s="26" t="s">
        <v>171</v>
      </c>
      <c r="D1" s="26" t="s">
        <v>172</v>
      </c>
      <c r="E1" s="26" t="s">
        <v>173</v>
      </c>
      <c r="F1" s="26"/>
      <c r="G1" s="26" t="s">
        <v>174</v>
      </c>
      <c r="H1" s="26" t="s">
        <v>175</v>
      </c>
      <c r="I1" s="26" t="s">
        <v>172</v>
      </c>
      <c r="J1" s="26" t="s">
        <v>176</v>
      </c>
      <c r="K1" s="26" t="s">
        <v>177</v>
      </c>
      <c r="L1" s="26" t="s">
        <v>181</v>
      </c>
    </row>
    <row r="2" spans="1:12" x14ac:dyDescent="0.3">
      <c r="A2" t="s">
        <v>169</v>
      </c>
      <c r="C2">
        <v>56</v>
      </c>
      <c r="D2">
        <v>280</v>
      </c>
      <c r="E2">
        <f>D2*C2</f>
        <v>15680</v>
      </c>
      <c r="F2" t="s">
        <v>251</v>
      </c>
      <c r="G2">
        <v>5</v>
      </c>
      <c r="H2">
        <v>40</v>
      </c>
      <c r="I2">
        <f>H2*6</f>
        <v>240</v>
      </c>
      <c r="J2">
        <f>I2*G2</f>
        <v>1200</v>
      </c>
      <c r="K2">
        <f>J2*C2</f>
        <v>67200</v>
      </c>
      <c r="L2">
        <f>K2-E2</f>
        <v>51520</v>
      </c>
    </row>
    <row r="3" spans="1:12" x14ac:dyDescent="0.3">
      <c r="A3" t="s">
        <v>170</v>
      </c>
      <c r="C3">
        <v>56</v>
      </c>
      <c r="D3">
        <v>200</v>
      </c>
      <c r="E3">
        <f>D3*C3</f>
        <v>11200</v>
      </c>
      <c r="G3">
        <v>3</v>
      </c>
      <c r="H3">
        <v>40</v>
      </c>
      <c r="I3">
        <f>H3*6</f>
        <v>240</v>
      </c>
      <c r="J3">
        <f>I3*G3</f>
        <v>720</v>
      </c>
      <c r="K3">
        <f>J3*C3</f>
        <v>40320</v>
      </c>
      <c r="L3">
        <f>K3-E3</f>
        <v>29120</v>
      </c>
    </row>
    <row r="5" spans="1:12" x14ac:dyDescent="0.2">
      <c r="D5" s="26" t="s">
        <v>280</v>
      </c>
      <c r="E5" s="26" t="s">
        <v>281</v>
      </c>
    </row>
    <row r="6" spans="1:12" x14ac:dyDescent="0.3">
      <c r="A6" t="s">
        <v>252</v>
      </c>
      <c r="B6" t="s">
        <v>253</v>
      </c>
      <c r="C6">
        <v>56</v>
      </c>
      <c r="D6">
        <v>7</v>
      </c>
      <c r="E6">
        <v>10</v>
      </c>
      <c r="F6">
        <v>1</v>
      </c>
      <c r="G6">
        <f>C6*D6*E6*F6</f>
        <v>3920</v>
      </c>
      <c r="H6" t="s">
        <v>282</v>
      </c>
    </row>
    <row r="7" spans="1:12" x14ac:dyDescent="0.3">
      <c r="B7" t="s">
        <v>254</v>
      </c>
      <c r="C7">
        <v>56</v>
      </c>
      <c r="D7">
        <v>7</v>
      </c>
      <c r="E7">
        <v>8.5</v>
      </c>
      <c r="F7">
        <v>1</v>
      </c>
      <c r="G7">
        <f t="shared" ref="G7:G8" si="0">C7*D7*E7*F7</f>
        <v>3332</v>
      </c>
    </row>
    <row r="8" spans="1:12" x14ac:dyDescent="0.3">
      <c r="B8" t="s">
        <v>279</v>
      </c>
      <c r="C8">
        <v>28</v>
      </c>
      <c r="D8">
        <v>9</v>
      </c>
      <c r="E8">
        <v>8.5</v>
      </c>
      <c r="F8">
        <v>3</v>
      </c>
      <c r="G8">
        <f t="shared" si="0"/>
        <v>6426</v>
      </c>
    </row>
    <row r="15" spans="1:12" x14ac:dyDescent="0.3">
      <c r="A15" t="s">
        <v>178</v>
      </c>
      <c r="F15">
        <v>350</v>
      </c>
      <c r="G15">
        <v>350</v>
      </c>
      <c r="H15">
        <v>350</v>
      </c>
      <c r="I15">
        <v>350</v>
      </c>
      <c r="K15">
        <v>350</v>
      </c>
      <c r="L15">
        <v>350</v>
      </c>
    </row>
    <row r="16" spans="1:12" x14ac:dyDescent="0.3">
      <c r="A16" t="s">
        <v>179</v>
      </c>
      <c r="C16" t="s">
        <v>180</v>
      </c>
    </row>
    <row r="21" spans="1:31" x14ac:dyDescent="0.2">
      <c r="A21" s="3" t="s">
        <v>217</v>
      </c>
    </row>
    <row r="22" spans="1:31" x14ac:dyDescent="0.2">
      <c r="B22" s="47">
        <v>43252</v>
      </c>
      <c r="C22" s="47">
        <v>43282</v>
      </c>
      <c r="D22" s="47">
        <v>43313</v>
      </c>
      <c r="E22" s="47">
        <v>43344</v>
      </c>
      <c r="F22" s="47">
        <v>43374</v>
      </c>
      <c r="G22" s="47">
        <v>43405</v>
      </c>
      <c r="H22" s="47">
        <v>43435</v>
      </c>
      <c r="I22" s="47">
        <v>43466</v>
      </c>
      <c r="J22" s="47">
        <v>43497</v>
      </c>
      <c r="K22" s="47">
        <v>43525</v>
      </c>
      <c r="L22" s="47">
        <v>43556</v>
      </c>
      <c r="M22" s="47">
        <v>43586</v>
      </c>
      <c r="N22" s="47">
        <v>43617</v>
      </c>
      <c r="O22" s="47">
        <v>43647</v>
      </c>
      <c r="P22" s="47">
        <v>43678</v>
      </c>
      <c r="Q22" s="47">
        <v>43709</v>
      </c>
      <c r="R22" s="47">
        <v>43739</v>
      </c>
      <c r="S22" s="47">
        <v>43770</v>
      </c>
      <c r="T22" s="47">
        <v>43800</v>
      </c>
    </row>
    <row r="23" spans="1:31" x14ac:dyDescent="0.2">
      <c r="A23" t="s">
        <v>219</v>
      </c>
      <c r="B23" t="s">
        <v>235</v>
      </c>
      <c r="F23" t="s">
        <v>218</v>
      </c>
    </row>
    <row r="24" spans="1:31" x14ac:dyDescent="0.2">
      <c r="A24" s="11" t="s">
        <v>220</v>
      </c>
      <c r="B24" t="s">
        <v>221</v>
      </c>
      <c r="F24" s="11"/>
      <c r="G24" s="11"/>
      <c r="H24" s="11"/>
      <c r="I24" s="11"/>
      <c r="J24" s="11"/>
      <c r="L24" s="9"/>
      <c r="V24" s="11"/>
      <c r="W24" s="11"/>
      <c r="X24" s="11"/>
      <c r="Y24" s="11"/>
      <c r="Z24" s="11"/>
      <c r="AA24" s="11"/>
      <c r="AE24" s="2"/>
    </row>
    <row r="25" spans="1:31" x14ac:dyDescent="0.2">
      <c r="A25" s="47" t="s">
        <v>232</v>
      </c>
    </row>
    <row r="26" spans="1:31" x14ac:dyDescent="0.2">
      <c r="A26" s="47" t="s">
        <v>233</v>
      </c>
      <c r="B26" t="s">
        <v>234</v>
      </c>
    </row>
    <row r="27" spans="1:31" x14ac:dyDescent="0.2">
      <c r="A27" s="47" t="s">
        <v>236</v>
      </c>
      <c r="B27" t="s">
        <v>237</v>
      </c>
      <c r="C27" t="s">
        <v>238</v>
      </c>
      <c r="F27" t="s">
        <v>240</v>
      </c>
      <c r="J27" t="s">
        <v>239</v>
      </c>
    </row>
    <row r="28" spans="1:31" x14ac:dyDescent="0.2">
      <c r="A28" s="47" t="s">
        <v>241</v>
      </c>
      <c r="D28" s="53" t="s">
        <v>168</v>
      </c>
    </row>
    <row r="29" spans="1:31" x14ac:dyDescent="0.2">
      <c r="A29" s="47" t="s">
        <v>241</v>
      </c>
      <c r="C29" s="118" t="s">
        <v>169</v>
      </c>
      <c r="D29" s="118"/>
      <c r="F29" s="118" t="s">
        <v>170</v>
      </c>
      <c r="G29" s="118"/>
    </row>
    <row r="30" spans="1:31" x14ac:dyDescent="0.2">
      <c r="A30" s="47"/>
    </row>
    <row r="31" spans="1:31" x14ac:dyDescent="0.2">
      <c r="A31" s="47"/>
    </row>
    <row r="32" spans="1:31" x14ac:dyDescent="0.2">
      <c r="A32" s="47" t="s">
        <v>370</v>
      </c>
    </row>
    <row r="33" spans="1:8" x14ac:dyDescent="0.2">
      <c r="A33" s="76" t="s">
        <v>381</v>
      </c>
      <c r="B33" s="26" t="s">
        <v>373</v>
      </c>
      <c r="C33" s="26" t="s">
        <v>374</v>
      </c>
      <c r="D33" s="26" t="s">
        <v>371</v>
      </c>
      <c r="E33" s="26" t="s">
        <v>177</v>
      </c>
    </row>
    <row r="34" spans="1:8" x14ac:dyDescent="0.2">
      <c r="A34">
        <v>3</v>
      </c>
      <c r="B34">
        <v>40</v>
      </c>
      <c r="C34">
        <v>9</v>
      </c>
      <c r="D34">
        <v>52</v>
      </c>
      <c r="E34">
        <f>A34*B34*C34*D34</f>
        <v>56160</v>
      </c>
    </row>
    <row r="35" spans="1:8" x14ac:dyDescent="0.2">
      <c r="A35">
        <v>2</v>
      </c>
      <c r="B35">
        <v>40</v>
      </c>
      <c r="C35">
        <v>7.8</v>
      </c>
      <c r="D35">
        <v>52</v>
      </c>
      <c r="E35">
        <f>A35*B35*C35*D35</f>
        <v>32448</v>
      </c>
    </row>
    <row r="37" spans="1:8" x14ac:dyDescent="0.2">
      <c r="A37" t="s">
        <v>372</v>
      </c>
    </row>
    <row r="38" spans="1:8" x14ac:dyDescent="0.2">
      <c r="A38">
        <v>1</v>
      </c>
      <c r="B38">
        <f>3*7</f>
        <v>21</v>
      </c>
      <c r="C38">
        <v>12</v>
      </c>
      <c r="D38">
        <v>52</v>
      </c>
      <c r="E38">
        <f>A38*B38*C38*D38</f>
        <v>13104</v>
      </c>
    </row>
    <row r="40" spans="1:8" x14ac:dyDescent="0.2">
      <c r="A40" t="s">
        <v>382</v>
      </c>
    </row>
    <row r="41" spans="1:8" x14ac:dyDescent="0.2">
      <c r="A41">
        <v>2</v>
      </c>
      <c r="B41">
        <v>10</v>
      </c>
      <c r="C41">
        <v>12</v>
      </c>
      <c r="D41">
        <v>12</v>
      </c>
      <c r="E41">
        <f>A41*B41*C41*D41</f>
        <v>2880</v>
      </c>
    </row>
    <row r="44" spans="1:8" x14ac:dyDescent="0.2">
      <c r="A44">
        <v>1</v>
      </c>
      <c r="B44">
        <v>77</v>
      </c>
      <c r="C44">
        <v>9</v>
      </c>
      <c r="D44">
        <v>20</v>
      </c>
      <c r="E44">
        <f>A44*B44*C44*D44</f>
        <v>13860</v>
      </c>
      <c r="F44" t="s">
        <v>377</v>
      </c>
      <c r="G44">
        <f>SUM(E44:E46)/D44*4</f>
        <v>4092</v>
      </c>
      <c r="H44" t="s">
        <v>378</v>
      </c>
    </row>
    <row r="45" spans="1:8" x14ac:dyDescent="0.2">
      <c r="A45">
        <v>1</v>
      </c>
      <c r="B45">
        <v>10</v>
      </c>
      <c r="C45">
        <v>7.8</v>
      </c>
      <c r="D45">
        <v>20</v>
      </c>
      <c r="E45">
        <f>A45*B45*C45*D45</f>
        <v>1560</v>
      </c>
    </row>
    <row r="46" spans="1:8" x14ac:dyDescent="0.2">
      <c r="A46">
        <v>1</v>
      </c>
      <c r="B46">
        <v>21</v>
      </c>
      <c r="C46">
        <v>12</v>
      </c>
      <c r="D46">
        <v>20</v>
      </c>
      <c r="E46">
        <f>A46*B46*C46*D46</f>
        <v>5040</v>
      </c>
    </row>
    <row r="48" spans="1:8" x14ac:dyDescent="0.2">
      <c r="A48">
        <v>2</v>
      </c>
      <c r="B48">
        <v>77</v>
      </c>
      <c r="C48">
        <v>9</v>
      </c>
      <c r="D48">
        <v>16</v>
      </c>
      <c r="E48">
        <f>A48*B48*C48*D48</f>
        <v>22176</v>
      </c>
      <c r="F48" t="s">
        <v>376</v>
      </c>
      <c r="G48">
        <f>SUM(E48:E50)/D48*4</f>
        <v>7176</v>
      </c>
      <c r="H48" t="s">
        <v>380</v>
      </c>
    </row>
    <row r="49" spans="1:8" x14ac:dyDescent="0.2">
      <c r="A49">
        <v>2</v>
      </c>
      <c r="B49">
        <v>10</v>
      </c>
      <c r="C49">
        <v>7.8</v>
      </c>
      <c r="D49">
        <v>16</v>
      </c>
      <c r="E49">
        <f>A49*B49*C49*D49</f>
        <v>2496</v>
      </c>
    </row>
    <row r="50" spans="1:8" x14ac:dyDescent="0.2">
      <c r="A50">
        <v>1</v>
      </c>
      <c r="B50">
        <v>21</v>
      </c>
      <c r="C50">
        <v>12</v>
      </c>
      <c r="D50">
        <v>16</v>
      </c>
      <c r="E50">
        <f>A50*B50*C50*D50</f>
        <v>4032</v>
      </c>
    </row>
    <row r="52" spans="1:8" x14ac:dyDescent="0.2">
      <c r="A52">
        <v>3</v>
      </c>
      <c r="B52">
        <v>77</v>
      </c>
      <c r="C52">
        <v>9</v>
      </c>
      <c r="D52">
        <v>12</v>
      </c>
      <c r="E52">
        <f>A52*B52*C52*D52</f>
        <v>24948</v>
      </c>
      <c r="F52" t="s">
        <v>375</v>
      </c>
      <c r="G52">
        <f>SUM(E52:E54)/D52*4</f>
        <v>10572</v>
      </c>
      <c r="H52" t="s">
        <v>379</v>
      </c>
    </row>
    <row r="53" spans="1:8" x14ac:dyDescent="0.2">
      <c r="A53">
        <v>2</v>
      </c>
      <c r="B53">
        <v>20</v>
      </c>
      <c r="C53">
        <v>7.8</v>
      </c>
      <c r="D53">
        <v>12</v>
      </c>
      <c r="E53">
        <f>A53*B53*C53*D53</f>
        <v>3744</v>
      </c>
    </row>
    <row r="54" spans="1:8" x14ac:dyDescent="0.2">
      <c r="A54">
        <v>1</v>
      </c>
      <c r="B54">
        <v>21</v>
      </c>
      <c r="C54">
        <v>12</v>
      </c>
      <c r="D54">
        <v>12</v>
      </c>
      <c r="E54">
        <f>A54*B54*C54*D54</f>
        <v>3024</v>
      </c>
    </row>
    <row r="56" spans="1:8" x14ac:dyDescent="0.2">
      <c r="E56">
        <f>SUM(E44:E55)</f>
        <v>80880</v>
      </c>
    </row>
    <row r="59" spans="1:8" x14ac:dyDescent="0.2">
      <c r="A59" t="s">
        <v>387</v>
      </c>
    </row>
    <row r="60" spans="1:8" x14ac:dyDescent="0.2">
      <c r="A60" t="s">
        <v>388</v>
      </c>
    </row>
    <row r="66" spans="1:6" x14ac:dyDescent="0.2">
      <c r="A66" t="s">
        <v>386</v>
      </c>
    </row>
    <row r="67" spans="1:6" x14ac:dyDescent="0.2">
      <c r="A67">
        <v>1</v>
      </c>
      <c r="B67">
        <v>77</v>
      </c>
      <c r="C67">
        <v>7.8</v>
      </c>
      <c r="D67">
        <v>12</v>
      </c>
      <c r="E67">
        <f>A67*B67*C67*D67</f>
        <v>7207.2000000000007</v>
      </c>
      <c r="F67">
        <f>E67/3</f>
        <v>2402.4</v>
      </c>
    </row>
    <row r="71" spans="1:6" x14ac:dyDescent="0.2">
      <c r="A71" s="47"/>
    </row>
    <row r="72" spans="1:6" x14ac:dyDescent="0.2">
      <c r="A72" t="s">
        <v>383</v>
      </c>
    </row>
    <row r="73" spans="1:6" x14ac:dyDescent="0.2">
      <c r="A73">
        <v>3</v>
      </c>
      <c r="B73">
        <v>77</v>
      </c>
      <c r="C73">
        <v>7.8</v>
      </c>
      <c r="D73">
        <v>4</v>
      </c>
      <c r="E73">
        <f>A73*B73*C73*D73</f>
        <v>7207.2</v>
      </c>
      <c r="F73" t="s">
        <v>384</v>
      </c>
    </row>
  </sheetData>
  <mergeCells count="2">
    <mergeCell ref="C29:D29"/>
    <mergeCell ref="F29:G2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="213" workbookViewId="0">
      <selection activeCell="H52" sqref="H52"/>
    </sheetView>
  </sheetViews>
  <sheetFormatPr baseColWidth="10" defaultColWidth="11" defaultRowHeight="16" x14ac:dyDescent="0.2"/>
  <cols>
    <col min="1" max="1" width="31" bestFit="1" customWidth="1"/>
    <col min="2" max="2" width="15.1640625" customWidth="1"/>
    <col min="3" max="3" width="11" bestFit="1" customWidth="1"/>
  </cols>
  <sheetData>
    <row r="1" spans="1:4" x14ac:dyDescent="0.3">
      <c r="A1" s="3" t="s">
        <v>116</v>
      </c>
      <c r="B1" s="3"/>
    </row>
    <row r="3" spans="1:4" x14ac:dyDescent="0.3">
      <c r="A3" s="27" t="s">
        <v>119</v>
      </c>
      <c r="B3" s="27"/>
      <c r="C3" s="2">
        <v>45000</v>
      </c>
      <c r="D3" s="2"/>
    </row>
    <row r="4" spans="1:4" x14ac:dyDescent="0.2">
      <c r="A4" s="27" t="s">
        <v>120</v>
      </c>
      <c r="B4" s="27" t="s">
        <v>129</v>
      </c>
      <c r="C4" s="2">
        <v>40000</v>
      </c>
      <c r="D4" s="2" t="s">
        <v>135</v>
      </c>
    </row>
    <row r="5" spans="1:4" x14ac:dyDescent="0.3">
      <c r="A5" s="27" t="s">
        <v>191</v>
      </c>
      <c r="B5" s="27" t="s">
        <v>192</v>
      </c>
      <c r="C5" s="2">
        <v>19000</v>
      </c>
      <c r="D5" s="2"/>
    </row>
    <row r="6" spans="1:4" x14ac:dyDescent="0.3">
      <c r="A6" s="27" t="s">
        <v>121</v>
      </c>
      <c r="B6" s="27"/>
      <c r="C6" s="2">
        <f>19000/5*1.5</f>
        <v>5700</v>
      </c>
      <c r="D6" s="2"/>
    </row>
    <row r="7" spans="1:4" x14ac:dyDescent="0.2">
      <c r="A7" s="27" t="s">
        <v>125</v>
      </c>
      <c r="B7" s="27" t="s">
        <v>127</v>
      </c>
      <c r="C7" s="2">
        <v>25000</v>
      </c>
      <c r="D7" s="2" t="s">
        <v>144</v>
      </c>
    </row>
    <row r="8" spans="1:4" x14ac:dyDescent="0.3">
      <c r="A8" t="s">
        <v>189</v>
      </c>
      <c r="B8" t="s">
        <v>190</v>
      </c>
      <c r="C8" s="2">
        <f>25000+(19000*2)</f>
        <v>63000</v>
      </c>
    </row>
    <row r="9" spans="1:4" x14ac:dyDescent="0.3">
      <c r="A9" t="s">
        <v>126</v>
      </c>
      <c r="B9" t="s">
        <v>128</v>
      </c>
      <c r="C9" s="2">
        <v>24000</v>
      </c>
      <c r="D9" t="s">
        <v>142</v>
      </c>
    </row>
    <row r="10" spans="1:4" x14ac:dyDescent="0.3">
      <c r="A10" s="27" t="s">
        <v>122</v>
      </c>
      <c r="B10" s="27" t="s">
        <v>117</v>
      </c>
      <c r="C10" s="2">
        <v>35000</v>
      </c>
      <c r="D10" s="2"/>
    </row>
    <row r="11" spans="1:4" x14ac:dyDescent="0.3">
      <c r="A11" s="27" t="s">
        <v>118</v>
      </c>
      <c r="B11" s="27" t="s">
        <v>123</v>
      </c>
      <c r="C11" s="2">
        <v>24000</v>
      </c>
      <c r="D11" s="2"/>
    </row>
    <row r="12" spans="1:4" x14ac:dyDescent="0.3">
      <c r="A12" s="27" t="s">
        <v>118</v>
      </c>
      <c r="B12" t="s">
        <v>124</v>
      </c>
      <c r="C12" s="2">
        <v>19000</v>
      </c>
      <c r="D12" s="2"/>
    </row>
    <row r="13" spans="1:4" x14ac:dyDescent="0.3">
      <c r="C13" s="2"/>
      <c r="D13" s="26" t="s">
        <v>130</v>
      </c>
    </row>
    <row r="14" spans="1:4" x14ac:dyDescent="0.3">
      <c r="C14" s="9">
        <f>SUM(C3:C13)</f>
        <v>299700</v>
      </c>
      <c r="D14" s="2">
        <f>C14/12</f>
        <v>24975</v>
      </c>
    </row>
    <row r="15" spans="1:4" x14ac:dyDescent="0.3">
      <c r="A15" t="s">
        <v>143</v>
      </c>
      <c r="B15" s="1">
        <v>0.14000000000000001</v>
      </c>
      <c r="C15" s="2">
        <f>C14*B15</f>
        <v>41958.000000000007</v>
      </c>
      <c r="D15" s="2">
        <f>C15/12</f>
        <v>3496.5000000000005</v>
      </c>
    </row>
    <row r="16" spans="1:4" x14ac:dyDescent="0.3">
      <c r="B16" s="1"/>
      <c r="C16" s="2">
        <f>SUM(C14:C15)</f>
        <v>341658</v>
      </c>
      <c r="D16" s="2">
        <f>SUM(D14:D15)</f>
        <v>28471.5</v>
      </c>
    </row>
    <row r="17" spans="1:4" x14ac:dyDescent="0.3">
      <c r="C17" s="2"/>
      <c r="D17" s="2"/>
    </row>
    <row r="18" spans="1:4" s="29" customFormat="1" x14ac:dyDescent="0.3">
      <c r="A18" s="28" t="s">
        <v>131</v>
      </c>
    </row>
    <row r="19" spans="1:4" s="29" customFormat="1" x14ac:dyDescent="0.3">
      <c r="A19" s="29" t="s">
        <v>134</v>
      </c>
      <c r="B19" s="29" t="s">
        <v>133</v>
      </c>
      <c r="C19" s="30">
        <v>35000</v>
      </c>
      <c r="D19" s="30">
        <f>C19/12</f>
        <v>2916.6666666666665</v>
      </c>
    </row>
    <row r="20" spans="1:4" s="29" customFormat="1" x14ac:dyDescent="0.2">
      <c r="A20" s="29" t="s">
        <v>132</v>
      </c>
      <c r="B20" s="29" t="s">
        <v>133</v>
      </c>
      <c r="C20" s="30">
        <v>30000</v>
      </c>
      <c r="D20" s="30">
        <f>C20/12</f>
        <v>2500</v>
      </c>
    </row>
    <row r="21" spans="1:4" s="29" customFormat="1" x14ac:dyDescent="0.2">
      <c r="A21" s="29" t="s">
        <v>136</v>
      </c>
      <c r="B21" s="29" t="s">
        <v>137</v>
      </c>
      <c r="C21" s="30">
        <v>25000</v>
      </c>
    </row>
    <row r="22" spans="1:4" s="29" customFormat="1" x14ac:dyDescent="0.2">
      <c r="A22" s="29" t="s">
        <v>138</v>
      </c>
      <c r="B22" s="29" t="s">
        <v>137</v>
      </c>
      <c r="C22" s="30">
        <v>5200</v>
      </c>
    </row>
    <row r="23" spans="1:4" s="29" customFormat="1" x14ac:dyDescent="0.2">
      <c r="A23" s="29" t="s">
        <v>148</v>
      </c>
      <c r="B23" s="29" t="s">
        <v>137</v>
      </c>
      <c r="C23" s="30">
        <v>25000</v>
      </c>
    </row>
    <row r="25" spans="1:4" x14ac:dyDescent="0.2">
      <c r="A25" t="s">
        <v>26</v>
      </c>
    </row>
    <row r="26" spans="1:4" x14ac:dyDescent="0.2">
      <c r="A26" t="s">
        <v>139</v>
      </c>
      <c r="C26" s="2">
        <v>100000</v>
      </c>
      <c r="D26" s="2">
        <v>8300</v>
      </c>
    </row>
    <row r="28" spans="1:4" x14ac:dyDescent="0.2">
      <c r="A28" t="s">
        <v>140</v>
      </c>
    </row>
    <row r="29" spans="1:4" x14ac:dyDescent="0.2">
      <c r="A29" t="s">
        <v>141</v>
      </c>
      <c r="C29" s="2">
        <v>35000</v>
      </c>
      <c r="D29" s="2">
        <f>C29/12</f>
        <v>2916.6666666666665</v>
      </c>
    </row>
    <row r="31" spans="1:4" x14ac:dyDescent="0.2">
      <c r="A31" t="s">
        <v>20</v>
      </c>
      <c r="C31" s="2">
        <f>D31*12</f>
        <v>66000</v>
      </c>
      <c r="D31" s="2">
        <v>5500</v>
      </c>
    </row>
    <row r="32" spans="1:4" x14ac:dyDescent="0.2">
      <c r="A32" t="s">
        <v>145</v>
      </c>
      <c r="C32" s="2">
        <f>D32*12</f>
        <v>7200</v>
      </c>
      <c r="D32" s="2">
        <v>600</v>
      </c>
    </row>
    <row r="34" spans="1:4" x14ac:dyDescent="0.2">
      <c r="C34" s="31">
        <f>C16+C26+C29+C31+C32</f>
        <v>549858</v>
      </c>
      <c r="D34" s="31">
        <f>C34/12</f>
        <v>45821.5</v>
      </c>
    </row>
    <row r="35" spans="1:4" x14ac:dyDescent="0.2">
      <c r="A35" s="34" t="s">
        <v>156</v>
      </c>
      <c r="B35" s="33">
        <f>B34*2</f>
        <v>0</v>
      </c>
      <c r="C35" s="33">
        <f>C34*2</f>
        <v>1099716</v>
      </c>
    </row>
    <row r="37" spans="1:4" x14ac:dyDescent="0.2">
      <c r="A37" s="3" t="s">
        <v>146</v>
      </c>
    </row>
    <row r="39" spans="1:4" x14ac:dyDescent="0.2">
      <c r="A39" t="s">
        <v>157</v>
      </c>
    </row>
    <row r="40" spans="1:4" x14ac:dyDescent="0.2">
      <c r="A40" t="s">
        <v>158</v>
      </c>
    </row>
    <row r="41" spans="1:4" x14ac:dyDescent="0.2">
      <c r="A41" t="s">
        <v>159</v>
      </c>
    </row>
    <row r="42" spans="1:4" x14ac:dyDescent="0.2">
      <c r="A42" t="s">
        <v>160</v>
      </c>
      <c r="B42" t="s">
        <v>161</v>
      </c>
    </row>
    <row r="43" spans="1:4" x14ac:dyDescent="0.2">
      <c r="A43" t="s">
        <v>162</v>
      </c>
    </row>
    <row r="44" spans="1:4" x14ac:dyDescent="0.2">
      <c r="A44" t="s">
        <v>163</v>
      </c>
    </row>
    <row r="46" spans="1:4" x14ac:dyDescent="0.2">
      <c r="A46" s="19" t="s">
        <v>11</v>
      </c>
    </row>
    <row r="47" spans="1:4" x14ac:dyDescent="0.2">
      <c r="A47" s="6">
        <v>200000</v>
      </c>
      <c r="B47">
        <v>2.83</v>
      </c>
      <c r="C47">
        <f>A47*B47</f>
        <v>566000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zoomScale="213" workbookViewId="0">
      <selection activeCell="H52" sqref="H52"/>
    </sheetView>
  </sheetViews>
  <sheetFormatPr baseColWidth="10" defaultColWidth="11" defaultRowHeight="16" x14ac:dyDescent="0.2"/>
  <cols>
    <col min="1" max="1" width="31" bestFit="1" customWidth="1"/>
    <col min="2" max="2" width="15.1640625" customWidth="1"/>
  </cols>
  <sheetData>
    <row r="1" spans="1:4" x14ac:dyDescent="0.3">
      <c r="A1" s="3" t="s">
        <v>116</v>
      </c>
      <c r="B1" s="3"/>
    </row>
    <row r="3" spans="1:4" x14ac:dyDescent="0.3">
      <c r="A3" t="s">
        <v>150</v>
      </c>
      <c r="B3" t="s">
        <v>151</v>
      </c>
      <c r="C3">
        <v>0</v>
      </c>
    </row>
    <row r="4" spans="1:4" x14ac:dyDescent="0.3">
      <c r="A4" t="s">
        <v>189</v>
      </c>
      <c r="B4" t="s">
        <v>190</v>
      </c>
      <c r="C4" s="2">
        <f>25000+(19000*2)</f>
        <v>63000</v>
      </c>
    </row>
    <row r="5" spans="1:4" x14ac:dyDescent="0.2">
      <c r="A5" s="27" t="s">
        <v>155</v>
      </c>
      <c r="B5" s="27" t="s">
        <v>129</v>
      </c>
      <c r="C5" s="2">
        <v>57500</v>
      </c>
      <c r="D5" s="2" t="s">
        <v>135</v>
      </c>
    </row>
    <row r="6" spans="1:4" x14ac:dyDescent="0.2">
      <c r="A6" s="27" t="s">
        <v>125</v>
      </c>
      <c r="B6" s="27" t="s">
        <v>127</v>
      </c>
      <c r="C6" s="2">
        <v>30000</v>
      </c>
      <c r="D6" s="2" t="s">
        <v>144</v>
      </c>
    </row>
    <row r="7" spans="1:4" x14ac:dyDescent="0.3">
      <c r="A7" s="27" t="s">
        <v>122</v>
      </c>
      <c r="B7" s="27" t="s">
        <v>117</v>
      </c>
      <c r="C7" s="2">
        <v>35000</v>
      </c>
      <c r="D7" s="2"/>
    </row>
    <row r="8" spans="1:4" x14ac:dyDescent="0.3">
      <c r="A8" s="27" t="s">
        <v>118</v>
      </c>
      <c r="B8" s="27" t="s">
        <v>123</v>
      </c>
      <c r="C8" s="2">
        <v>24000</v>
      </c>
      <c r="D8" s="2"/>
    </row>
    <row r="9" spans="1:4" x14ac:dyDescent="0.3">
      <c r="A9" s="27" t="s">
        <v>118</v>
      </c>
      <c r="B9" t="s">
        <v>153</v>
      </c>
      <c r="C9" s="2">
        <v>12000</v>
      </c>
      <c r="D9" s="2"/>
    </row>
    <row r="10" spans="1:4" x14ac:dyDescent="0.3">
      <c r="A10" s="27" t="s">
        <v>121</v>
      </c>
      <c r="B10" s="27" t="s">
        <v>152</v>
      </c>
      <c r="C10" s="2"/>
      <c r="D10" s="2"/>
    </row>
    <row r="11" spans="1:4" x14ac:dyDescent="0.3">
      <c r="C11" s="2"/>
      <c r="D11" s="26" t="s">
        <v>130</v>
      </c>
    </row>
    <row r="12" spans="1:4" x14ac:dyDescent="0.3">
      <c r="C12" s="9">
        <f>SUM(C3:C11)</f>
        <v>221500</v>
      </c>
      <c r="D12" s="2">
        <f>C12/12</f>
        <v>18458.333333333332</v>
      </c>
    </row>
    <row r="13" spans="1:4" x14ac:dyDescent="0.3">
      <c r="A13" t="s">
        <v>143</v>
      </c>
      <c r="B13" s="1">
        <v>0.14000000000000001</v>
      </c>
      <c r="C13" s="2">
        <f>C12*B13</f>
        <v>31010.000000000004</v>
      </c>
      <c r="D13" s="2">
        <f>C13/12</f>
        <v>2584.166666666667</v>
      </c>
    </row>
    <row r="14" spans="1:4" x14ac:dyDescent="0.3">
      <c r="B14" s="1"/>
      <c r="C14" s="2">
        <f>SUM(C12:C13)</f>
        <v>252510</v>
      </c>
      <c r="D14" s="2">
        <f>SUM(D12:D13)</f>
        <v>21042.5</v>
      </c>
    </row>
    <row r="15" spans="1:4" x14ac:dyDescent="0.3">
      <c r="C15" s="2"/>
      <c r="D15" s="2"/>
    </row>
    <row r="16" spans="1:4" s="29" customFormat="1" x14ac:dyDescent="0.3">
      <c r="A16" s="28" t="s">
        <v>131</v>
      </c>
    </row>
    <row r="17" spans="1:4" s="29" customFormat="1" x14ac:dyDescent="0.3">
      <c r="A17" s="29" t="s">
        <v>134</v>
      </c>
      <c r="B17" s="29" t="s">
        <v>133</v>
      </c>
      <c r="C17" s="30">
        <v>35000</v>
      </c>
      <c r="D17" s="30">
        <f>C17/12</f>
        <v>2916.6666666666665</v>
      </c>
    </row>
    <row r="18" spans="1:4" s="29" customFormat="1" x14ac:dyDescent="0.3">
      <c r="A18" s="29" t="s">
        <v>132</v>
      </c>
      <c r="B18" s="29" t="s">
        <v>133</v>
      </c>
      <c r="C18" s="30">
        <v>30000</v>
      </c>
      <c r="D18" s="30">
        <f>C18/12</f>
        <v>2500</v>
      </c>
    </row>
    <row r="19" spans="1:4" s="29" customFormat="1" x14ac:dyDescent="0.3">
      <c r="A19" s="29" t="s">
        <v>136</v>
      </c>
      <c r="B19" s="29" t="s">
        <v>137</v>
      </c>
      <c r="C19" s="30">
        <v>25000</v>
      </c>
    </row>
    <row r="20" spans="1:4" s="29" customFormat="1" x14ac:dyDescent="0.2">
      <c r="A20" s="29" t="s">
        <v>138</v>
      </c>
      <c r="B20" s="29" t="s">
        <v>137</v>
      </c>
      <c r="C20" s="30">
        <v>5200</v>
      </c>
    </row>
    <row r="21" spans="1:4" s="29" customFormat="1" x14ac:dyDescent="0.2">
      <c r="A21" s="29" t="s">
        <v>148</v>
      </c>
      <c r="B21" s="29" t="s">
        <v>137</v>
      </c>
      <c r="C21" s="30">
        <v>25000</v>
      </c>
    </row>
    <row r="23" spans="1:4" x14ac:dyDescent="0.2">
      <c r="A23" t="s">
        <v>26</v>
      </c>
    </row>
    <row r="24" spans="1:4" x14ac:dyDescent="0.2">
      <c r="A24" t="s">
        <v>149</v>
      </c>
      <c r="C24" s="2">
        <v>50000</v>
      </c>
      <c r="D24" s="2">
        <f>C24/12</f>
        <v>4166.666666666667</v>
      </c>
    </row>
    <row r="26" spans="1:4" x14ac:dyDescent="0.2">
      <c r="A26" t="s">
        <v>140</v>
      </c>
    </row>
    <row r="27" spans="1:4" x14ac:dyDescent="0.2">
      <c r="A27" t="s">
        <v>141</v>
      </c>
      <c r="C27" s="2">
        <v>35000</v>
      </c>
      <c r="D27" s="2">
        <f>C27/12</f>
        <v>2916.6666666666665</v>
      </c>
    </row>
    <row r="29" spans="1:4" x14ac:dyDescent="0.2">
      <c r="A29" t="s">
        <v>20</v>
      </c>
      <c r="C29" s="2">
        <f>D29*12</f>
        <v>42000</v>
      </c>
      <c r="D29" s="2">
        <v>3500</v>
      </c>
    </row>
    <row r="30" spans="1:4" x14ac:dyDescent="0.2">
      <c r="A30" t="s">
        <v>145</v>
      </c>
      <c r="C30" s="2">
        <f>D30*12</f>
        <v>7200</v>
      </c>
      <c r="D30" s="2">
        <v>600</v>
      </c>
    </row>
    <row r="32" spans="1:4" x14ac:dyDescent="0.2">
      <c r="C32" s="31">
        <f>C14+C24+C27+C29+C30</f>
        <v>386710</v>
      </c>
      <c r="D32" s="31">
        <f>C32/12</f>
        <v>32225.833333333332</v>
      </c>
    </row>
    <row r="33" spans="1:3" x14ac:dyDescent="0.2">
      <c r="B33" s="34" t="s">
        <v>154</v>
      </c>
      <c r="C33" s="33">
        <f>C32*2</f>
        <v>773420</v>
      </c>
    </row>
    <row r="35" spans="1:3" x14ac:dyDescent="0.2">
      <c r="A35" s="3" t="s">
        <v>146</v>
      </c>
    </row>
    <row r="37" spans="1:3" x14ac:dyDescent="0.2">
      <c r="A37" s="32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Cover</vt:lpstr>
      <vt:lpstr>Transition phase</vt:lpstr>
      <vt:lpstr>Phase 2 capital</vt:lpstr>
      <vt:lpstr>Phase 2 steady</vt:lpstr>
      <vt:lpstr>Finance</vt:lpstr>
      <vt:lpstr>Original</vt:lpstr>
      <vt:lpstr>Notes</vt:lpstr>
      <vt:lpstr>Transition max</vt:lpstr>
      <vt:lpstr>Transition min </vt:lpstr>
      <vt:lpstr>Risks</vt:lpstr>
      <vt:lpstr>Year 1&amp;2&amp;3</vt:lpstr>
      <vt:lpstr>Assumptions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</dc:creator>
  <cp:lastModifiedBy>Jess</cp:lastModifiedBy>
  <cp:lastPrinted>2018-06-08T14:58:49Z</cp:lastPrinted>
  <dcterms:created xsi:type="dcterms:W3CDTF">2018-04-01T14:59:50Z</dcterms:created>
  <dcterms:modified xsi:type="dcterms:W3CDTF">2018-06-08T14:58:54Z</dcterms:modified>
</cp:coreProperties>
</file>